
<file path=[Content_Types].xml><?xml version="1.0" encoding="utf-8"?>
<Types xmlns="http://schemas.openxmlformats.org/package/2006/content-types">
  <Default Extension="bin" ContentType="application/vnd.openxmlformats-officedocument.spreadsheetml.printerSettings"/>
  <Override PartName="/xl/charts/chart6.xml" ContentType="application/vnd.openxmlformats-officedocument.drawingml.chart+xml"/>
  <Override PartName="/xl/charts/chart7.xml" ContentType="application/vnd.openxmlformats-officedocument.drawingml.chart+xml"/>
  <Override PartName="/xl/theme/theme1.xml" ContentType="application/vnd.openxmlformats-officedocument.theme+xml"/>
  <Override PartName="/xl/styles.xml" ContentType="application/vnd.openxmlformats-officedocument.spreadsheetml.styles+xml"/>
  <Override PartName="/xl/charts/chart4.xml" ContentType="application/vnd.openxmlformats-officedocument.drawingml.chart+xml"/>
  <Override PartName="/xl/charts/chart5.xml" ContentType="application/vnd.openxmlformats-officedocument.drawingml.chart+xml"/>
  <Override PartName="/xl/drawings/drawing6.xml" ContentType="application/vnd.openxmlformats-officedocument.drawing+xml"/>
  <Override PartName="/xl/drawings/drawing7.xml" ContentType="application/vnd.openxmlformats-officedocument.drawing+xml"/>
  <Override PartName="/xl/worksheets/sheet6.xml" ContentType="application/vnd.openxmlformats-officedocument.spreadsheetml.worksheet+xml"/>
  <Override PartName="/xl/worksheets/sheet7.xml" ContentType="application/vnd.openxmlformats-officedocument.spreadsheetml.worksheet+xml"/>
  <Override PartName="/xl/charts/chart2.xml" ContentType="application/vnd.openxmlformats-officedocument.drawingml.chart+xml"/>
  <Override PartName="/xl/charts/chart3.xml" ContentType="application/vnd.openxmlformats-officedocument.drawingml.chart+xml"/>
  <Override PartName="/xl/drawings/drawing4.xml" ContentType="application/vnd.openxmlformats-officedocument.drawing+xml"/>
  <Override PartName="/xl/drawings/drawing5.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charts/chart1.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chartsheets/sheet6.xml" ContentType="application/vnd.openxmlformats-officedocument.spreadsheetml.chartsheet+xml"/>
  <Override PartName="/xl/comments2.xml" ContentType="application/vnd.openxmlformats-officedocument.spreadsheetml.comments+xml"/>
  <Override PartName="/xl/drawings/drawing1.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chartsheets/sheet5.xml" ContentType="application/vnd.openxmlformats-officedocument.spreadsheetml.chart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sharedStrings.xml" ContentType="application/vnd.openxmlformats-officedocument.spreadsheetml.sharedStrings+xml"/>
  <Override PartName="/xl/chartsheets/sheet1.xml" ContentType="application/vnd.openxmlformats-officedocument.spreadsheetml.chart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xWindow="120" yWindow="45" windowWidth="15270" windowHeight="8190"/>
  </bookViews>
  <sheets>
    <sheet name="Gas Composition" sheetId="16" r:id="rId1"/>
    <sheet name="Z Calculation Method 1" sheetId="20" r:id="rId2"/>
    <sheet name="Z Calculation Method 2" sheetId="21" r:id="rId3"/>
    <sheet name="DATA - MW = 15.95 (Sp Gr= 0.55)" sheetId="10" state="hidden" r:id="rId4"/>
    <sheet name="Z - Chart - MW = 15.95 (1)" sheetId="11" state="hidden" r:id="rId5"/>
    <sheet name="Z - Chart - MW = 15.95 (2)" sheetId="12" state="hidden" r:id="rId6"/>
    <sheet name="DATA - MW = 17.40 (Sp Gr= 0.6)" sheetId="2" state="hidden" r:id="rId7"/>
    <sheet name="Z Chart - MW = 17.40 (1)" sheetId="6" state="hidden" r:id="rId8"/>
    <sheet name="Z Chart - MW = 17.40 (2)" sheetId="8" state="hidden" r:id="rId9"/>
    <sheet name="DATA - MW = 18.85 (Sp Gr= 0.65)" sheetId="13" state="hidden" r:id="rId10"/>
    <sheet name="Z - Chart - MW = 18.85 (1)" sheetId="14" state="hidden" r:id="rId11"/>
    <sheet name="Z - Chart - MW = 18.85 (2)" sheetId="15" state="hidden" r:id="rId12"/>
    <sheet name="Z Ratio - Velocity Sheet" sheetId="1" state="hidden" r:id="rId13"/>
  </sheets>
  <definedNames>
    <definedName name="A">'Z Calculation Method 2'!$B$21</definedName>
    <definedName name="B">'Z Calculation Method 2'!$B$20</definedName>
    <definedName name="CO">'Z Calculation Method 2'!$B$10</definedName>
    <definedName name="D">'Z Calculation Method 2'!$B$17</definedName>
    <definedName name="F">'Z Calculation Method 2'!$B$24</definedName>
    <definedName name="G">'Z Calculation Method 2'!$B$18</definedName>
    <definedName name="H">'Z Calculation Method 2'!$B$19</definedName>
    <definedName name="J">'Z Calculation Method 2'!$B$22</definedName>
    <definedName name="K">'Z Calculation Method 2'!$B$23</definedName>
    <definedName name="L">'Z Calculation Method 2'!$B$25</definedName>
    <definedName name="N">'Z Calculation Method 2'!$B$11</definedName>
    <definedName name="P">'Z Calculation Method 2'!$B$6</definedName>
    <definedName name="Patm">'Z Calculation Method 2'!$B$4</definedName>
    <definedName name="SG">'Z Calculation Method 2'!$B$9</definedName>
    <definedName name="T">'Z Calculation Method 2'!$B$8</definedName>
    <definedName name="X">'Z Calculation Method 2'!$B$14</definedName>
    <definedName name="Y">'Z Calculation Method 2'!$B$16</definedName>
    <definedName name="Z">'Z Calculation Method 2'!$B$15</definedName>
  </definedNames>
  <calcPr calcId="125725"/>
</workbook>
</file>

<file path=xl/calcChain.xml><?xml version="1.0" encoding="utf-8"?>
<calcChain xmlns="http://schemas.openxmlformats.org/spreadsheetml/2006/main">
  <c r="F85" i="20"/>
  <c r="B7" i="21"/>
  <c r="B8" s="1"/>
  <c r="B14" s="1"/>
  <c r="B5"/>
  <c r="B3"/>
  <c r="B4" s="1"/>
  <c r="B6" s="1"/>
  <c r="B15" s="1"/>
  <c r="D37" i="16"/>
  <c r="D35"/>
  <c r="B11" i="21"/>
  <c r="B10"/>
  <c r="F56" i="20"/>
  <c r="E13"/>
  <c r="F22" s="1"/>
  <c r="I23"/>
  <c r="I24"/>
  <c r="I25"/>
  <c r="I26"/>
  <c r="I27"/>
  <c r="I28"/>
  <c r="I29"/>
  <c r="I30"/>
  <c r="I31"/>
  <c r="I32"/>
  <c r="I33"/>
  <c r="I34"/>
  <c r="I35"/>
  <c r="I36"/>
  <c r="I37"/>
  <c r="I38"/>
  <c r="I39"/>
  <c r="I40"/>
  <c r="I41"/>
  <c r="I42"/>
  <c r="I43"/>
  <c r="I44"/>
  <c r="I45"/>
  <c r="I46"/>
  <c r="I47"/>
  <c r="I48"/>
  <c r="I49"/>
  <c r="I50"/>
  <c r="I51"/>
  <c r="I52"/>
  <c r="E23"/>
  <c r="E24"/>
  <c r="E25"/>
  <c r="E26"/>
  <c r="E27"/>
  <c r="E28"/>
  <c r="E29"/>
  <c r="E30"/>
  <c r="E31"/>
  <c r="E32"/>
  <c r="E33"/>
  <c r="E34"/>
  <c r="E35"/>
  <c r="E36"/>
  <c r="E37"/>
  <c r="E38"/>
  <c r="E39"/>
  <c r="E40"/>
  <c r="E41"/>
  <c r="E42"/>
  <c r="E43"/>
  <c r="E44"/>
  <c r="E45"/>
  <c r="E46"/>
  <c r="E47"/>
  <c r="E48"/>
  <c r="E49"/>
  <c r="E50"/>
  <c r="E51"/>
  <c r="E52"/>
  <c r="A23"/>
  <c r="A24"/>
  <c r="A25"/>
  <c r="A26"/>
  <c r="A27"/>
  <c r="A28"/>
  <c r="A29"/>
  <c r="A30"/>
  <c r="A31"/>
  <c r="A32"/>
  <c r="A33"/>
  <c r="A34"/>
  <c r="A35"/>
  <c r="A36"/>
  <c r="A37"/>
  <c r="A38"/>
  <c r="A39"/>
  <c r="A40"/>
  <c r="A41"/>
  <c r="A42"/>
  <c r="A43"/>
  <c r="A44"/>
  <c r="A45"/>
  <c r="A46"/>
  <c r="A47"/>
  <c r="A48"/>
  <c r="A49"/>
  <c r="A50"/>
  <c r="A51"/>
  <c r="A52"/>
  <c r="D30" i="16"/>
  <c r="AO30"/>
  <c r="AJ30"/>
  <c r="AE30"/>
  <c r="Z30"/>
  <c r="U30"/>
  <c r="P30"/>
  <c r="K30"/>
  <c r="AO9"/>
  <c r="AO10"/>
  <c r="AO11"/>
  <c r="AO12"/>
  <c r="AO13"/>
  <c r="AO14"/>
  <c r="AO15"/>
  <c r="AO16"/>
  <c r="AO17"/>
  <c r="AO18"/>
  <c r="AO19"/>
  <c r="AO20"/>
  <c r="AO21"/>
  <c r="AO22"/>
  <c r="AO23"/>
  <c r="AO24"/>
  <c r="AO25"/>
  <c r="AO26"/>
  <c r="AO27"/>
  <c r="AO28"/>
  <c r="AJ9"/>
  <c r="AJ10"/>
  <c r="AJ11"/>
  <c r="AJ12"/>
  <c r="AJ13"/>
  <c r="AJ14"/>
  <c r="AJ15"/>
  <c r="AJ16"/>
  <c r="AJ17"/>
  <c r="AJ18"/>
  <c r="AJ19"/>
  <c r="AJ20"/>
  <c r="AJ21"/>
  <c r="AJ22"/>
  <c r="AJ23"/>
  <c r="AJ24"/>
  <c r="AJ25"/>
  <c r="AJ26"/>
  <c r="AJ27"/>
  <c r="AJ28"/>
  <c r="AE9"/>
  <c r="AE10"/>
  <c r="AE11"/>
  <c r="AE12"/>
  <c r="AE13"/>
  <c r="AE14"/>
  <c r="AE15"/>
  <c r="AE16"/>
  <c r="AE17"/>
  <c r="AE18"/>
  <c r="AE19"/>
  <c r="AE20"/>
  <c r="AE21"/>
  <c r="AE22"/>
  <c r="AE23"/>
  <c r="AE24"/>
  <c r="AE25"/>
  <c r="AE26"/>
  <c r="AE27"/>
  <c r="AE28"/>
  <c r="Z9"/>
  <c r="Z10"/>
  <c r="Z11"/>
  <c r="Z12"/>
  <c r="Z13"/>
  <c r="Z14"/>
  <c r="Z15"/>
  <c r="Z16"/>
  <c r="Z17"/>
  <c r="Z18"/>
  <c r="Z19"/>
  <c r="Z20"/>
  <c r="Z21"/>
  <c r="Z22"/>
  <c r="Z23"/>
  <c r="Z24"/>
  <c r="Z25"/>
  <c r="Z26"/>
  <c r="Z27"/>
  <c r="Z28"/>
  <c r="U9"/>
  <c r="U10"/>
  <c r="U11"/>
  <c r="U12"/>
  <c r="U13"/>
  <c r="U14"/>
  <c r="U15"/>
  <c r="U16"/>
  <c r="U17"/>
  <c r="U18"/>
  <c r="U19"/>
  <c r="U20"/>
  <c r="U21"/>
  <c r="U22"/>
  <c r="U23"/>
  <c r="U24"/>
  <c r="U25"/>
  <c r="U26"/>
  <c r="U27"/>
  <c r="U28"/>
  <c r="P9"/>
  <c r="P10"/>
  <c r="P11"/>
  <c r="K9"/>
  <c r="K10"/>
  <c r="C8"/>
  <c r="A9" i="10"/>
  <c r="A10"/>
  <c r="A11"/>
  <c r="A12"/>
  <c r="A13"/>
  <c r="A14"/>
  <c r="A15"/>
  <c r="A16"/>
  <c r="A17"/>
  <c r="A18"/>
  <c r="A19"/>
  <c r="A20"/>
  <c r="A21"/>
  <c r="A22"/>
  <c r="A23"/>
  <c r="A24"/>
  <c r="A25"/>
  <c r="A26"/>
  <c r="A27"/>
  <c r="A28"/>
  <c r="A29"/>
  <c r="A30"/>
  <c r="A31"/>
  <c r="A32"/>
  <c r="A33"/>
  <c r="C6" i="13"/>
  <c r="D6"/>
  <c r="E6"/>
  <c r="G44"/>
  <c r="G45"/>
  <c r="G46"/>
  <c r="G47"/>
  <c r="G48"/>
  <c r="G49"/>
  <c r="G50"/>
  <c r="G51"/>
  <c r="G52"/>
  <c r="G53"/>
  <c r="A44"/>
  <c r="A45"/>
  <c r="A46"/>
  <c r="A47"/>
  <c r="A48"/>
  <c r="A49"/>
  <c r="A50"/>
  <c r="A51"/>
  <c r="A52"/>
  <c r="A53"/>
  <c r="M44"/>
  <c r="M45"/>
  <c r="M46"/>
  <c r="M47"/>
  <c r="M48"/>
  <c r="M49"/>
  <c r="M50"/>
  <c r="M51"/>
  <c r="A9"/>
  <c r="A10"/>
  <c r="A11"/>
  <c r="A12"/>
  <c r="A13"/>
  <c r="A14"/>
  <c r="A15"/>
  <c r="A16"/>
  <c r="A17"/>
  <c r="A18"/>
  <c r="A19"/>
  <c r="A20"/>
  <c r="A21"/>
  <c r="A22"/>
  <c r="A23"/>
  <c r="A24"/>
  <c r="A25"/>
  <c r="A26"/>
  <c r="A27"/>
  <c r="A28"/>
  <c r="A29"/>
  <c r="A30"/>
  <c r="A31"/>
  <c r="A32"/>
  <c r="A33"/>
  <c r="G44" i="10"/>
  <c r="G45"/>
  <c r="G46"/>
  <c r="G47"/>
  <c r="G48"/>
  <c r="G49"/>
  <c r="G50"/>
  <c r="G51"/>
  <c r="G52"/>
  <c r="G53"/>
  <c r="A44"/>
  <c r="A45"/>
  <c r="A46"/>
  <c r="A47"/>
  <c r="A48"/>
  <c r="A49"/>
  <c r="A50"/>
  <c r="A51"/>
  <c r="A52"/>
  <c r="A53"/>
  <c r="M44"/>
  <c r="M45"/>
  <c r="M46"/>
  <c r="M47"/>
  <c r="M48"/>
  <c r="M49"/>
  <c r="M50"/>
  <c r="M51"/>
  <c r="C6"/>
  <c r="D6"/>
  <c r="C6" i="2"/>
  <c r="D6"/>
  <c r="E6"/>
  <c r="F6"/>
  <c r="G6"/>
  <c r="H6"/>
  <c r="I6"/>
  <c r="J6"/>
  <c r="K6"/>
  <c r="L6"/>
  <c r="M6"/>
  <c r="M44"/>
  <c r="M45"/>
  <c r="M46"/>
  <c r="M47"/>
  <c r="M48"/>
  <c r="M49"/>
  <c r="M50"/>
  <c r="M51"/>
  <c r="G44"/>
  <c r="G45"/>
  <c r="G46"/>
  <c r="G47"/>
  <c r="G48"/>
  <c r="G49"/>
  <c r="G50"/>
  <c r="G51"/>
  <c r="G52"/>
  <c r="G53"/>
  <c r="A44"/>
  <c r="A45"/>
  <c r="A46"/>
  <c r="A47"/>
  <c r="A48"/>
  <c r="A49"/>
  <c r="A50"/>
  <c r="A51"/>
  <c r="A52"/>
  <c r="A53"/>
  <c r="D10"/>
  <c r="E10"/>
  <c r="F10"/>
  <c r="G10"/>
  <c r="H10"/>
  <c r="I10"/>
  <c r="J10"/>
  <c r="K10"/>
  <c r="D11"/>
  <c r="E11"/>
  <c r="F11"/>
  <c r="G11"/>
  <c r="H11"/>
  <c r="I11"/>
  <c r="J11"/>
  <c r="K11"/>
  <c r="D12"/>
  <c r="E12"/>
  <c r="F12"/>
  <c r="G12"/>
  <c r="H12"/>
  <c r="I12"/>
  <c r="J12"/>
  <c r="K12"/>
  <c r="D13"/>
  <c r="E13"/>
  <c r="F13"/>
  <c r="G13"/>
  <c r="H13"/>
  <c r="I13"/>
  <c r="J13"/>
  <c r="K13"/>
  <c r="D14"/>
  <c r="E14"/>
  <c r="F14"/>
  <c r="G14"/>
  <c r="H14"/>
  <c r="I14"/>
  <c r="J14"/>
  <c r="K14"/>
  <c r="D15"/>
  <c r="E15"/>
  <c r="F15"/>
  <c r="G15"/>
  <c r="H15"/>
  <c r="I15"/>
  <c r="J15"/>
  <c r="K15"/>
  <c r="D16"/>
  <c r="E16"/>
  <c r="F16"/>
  <c r="G16"/>
  <c r="H16"/>
  <c r="I16"/>
  <c r="J16"/>
  <c r="K16"/>
  <c r="D17"/>
  <c r="E17"/>
  <c r="F17"/>
  <c r="G17"/>
  <c r="H17"/>
  <c r="I17"/>
  <c r="J17"/>
  <c r="K17"/>
  <c r="D18"/>
  <c r="E18"/>
  <c r="F18"/>
  <c r="G18"/>
  <c r="H18"/>
  <c r="I18"/>
  <c r="J18"/>
  <c r="K18"/>
  <c r="D19"/>
  <c r="E19"/>
  <c r="F19"/>
  <c r="G19"/>
  <c r="H19"/>
  <c r="I19"/>
  <c r="J19"/>
  <c r="K19"/>
  <c r="D20"/>
  <c r="E20"/>
  <c r="F20"/>
  <c r="G20"/>
  <c r="H20"/>
  <c r="I20"/>
  <c r="J20"/>
  <c r="K20"/>
  <c r="D21"/>
  <c r="E21"/>
  <c r="F21"/>
  <c r="G21"/>
  <c r="H21"/>
  <c r="I21"/>
  <c r="J21"/>
  <c r="K21"/>
  <c r="D22"/>
  <c r="E22"/>
  <c r="F22"/>
  <c r="G22"/>
  <c r="H22"/>
  <c r="I22"/>
  <c r="J22"/>
  <c r="K22"/>
  <c r="D23"/>
  <c r="E23"/>
  <c r="F23"/>
  <c r="G23"/>
  <c r="H23"/>
  <c r="I23"/>
  <c r="J23"/>
  <c r="K23"/>
  <c r="D24"/>
  <c r="E24"/>
  <c r="F24"/>
  <c r="G24"/>
  <c r="H24"/>
  <c r="I24"/>
  <c r="J24"/>
  <c r="K24"/>
  <c r="D25"/>
  <c r="E25"/>
  <c r="F25"/>
  <c r="G25"/>
  <c r="H25"/>
  <c r="I25"/>
  <c r="J25"/>
  <c r="K25"/>
  <c r="D26"/>
  <c r="E26"/>
  <c r="F26"/>
  <c r="G26"/>
  <c r="H26"/>
  <c r="I26"/>
  <c r="J26"/>
  <c r="K26"/>
  <c r="D27"/>
  <c r="E27"/>
  <c r="F27"/>
  <c r="G27"/>
  <c r="H27"/>
  <c r="I27"/>
  <c r="J27"/>
  <c r="K27"/>
  <c r="D28"/>
  <c r="E28"/>
  <c r="F28"/>
  <c r="G28"/>
  <c r="H28"/>
  <c r="I28"/>
  <c r="J28"/>
  <c r="K28"/>
  <c r="D29"/>
  <c r="E29"/>
  <c r="F29"/>
  <c r="G29"/>
  <c r="H29"/>
  <c r="I29"/>
  <c r="J29"/>
  <c r="K29"/>
  <c r="D30"/>
  <c r="E30"/>
  <c r="F30"/>
  <c r="G30"/>
  <c r="H30"/>
  <c r="I30"/>
  <c r="J30"/>
  <c r="K30"/>
  <c r="D31"/>
  <c r="E31"/>
  <c r="F31"/>
  <c r="G31"/>
  <c r="H31"/>
  <c r="I31"/>
  <c r="J31"/>
  <c r="K31"/>
  <c r="D32"/>
  <c r="E32"/>
  <c r="F32"/>
  <c r="G32"/>
  <c r="H32"/>
  <c r="I32"/>
  <c r="J32"/>
  <c r="K32"/>
  <c r="D33"/>
  <c r="E33"/>
  <c r="F33"/>
  <c r="G33"/>
  <c r="H33"/>
  <c r="I33"/>
  <c r="J33"/>
  <c r="K33"/>
  <c r="E9"/>
  <c r="F9"/>
  <c r="G9"/>
  <c r="H9"/>
  <c r="I9"/>
  <c r="J9"/>
  <c r="K9"/>
  <c r="C10"/>
  <c r="C11"/>
  <c r="C12"/>
  <c r="C13"/>
  <c r="C14"/>
  <c r="C15"/>
  <c r="C16"/>
  <c r="C17"/>
  <c r="C18"/>
  <c r="C19"/>
  <c r="C20"/>
  <c r="C21"/>
  <c r="C22"/>
  <c r="C23"/>
  <c r="C24"/>
  <c r="C25"/>
  <c r="C26"/>
  <c r="C27"/>
  <c r="C28"/>
  <c r="C29"/>
  <c r="C30"/>
  <c r="C31"/>
  <c r="C32"/>
  <c r="C33"/>
  <c r="D9"/>
  <c r="C9"/>
  <c r="A9"/>
  <c r="A10"/>
  <c r="A11"/>
  <c r="A12"/>
  <c r="A13"/>
  <c r="A14"/>
  <c r="A15"/>
  <c r="A16"/>
  <c r="A17"/>
  <c r="A18"/>
  <c r="A19"/>
  <c r="A20"/>
  <c r="A21"/>
  <c r="A22"/>
  <c r="A23"/>
  <c r="A24"/>
  <c r="A25"/>
  <c r="A26"/>
  <c r="A27"/>
  <c r="A28"/>
  <c r="A29"/>
  <c r="A30"/>
  <c r="A31"/>
  <c r="A32"/>
  <c r="A33"/>
  <c r="A9" i="1"/>
  <c r="A10"/>
  <c r="A8"/>
  <c r="B2"/>
  <c r="B8"/>
  <c r="B9"/>
  <c r="B7"/>
  <c r="J23" i="20"/>
  <c r="F26"/>
  <c r="B29"/>
  <c r="B31"/>
  <c r="F32"/>
  <c r="F71" s="1"/>
  <c r="J32"/>
  <c r="J71" s="1"/>
  <c r="F33"/>
  <c r="B34"/>
  <c r="J34"/>
  <c r="F35"/>
  <c r="B36"/>
  <c r="J36"/>
  <c r="F37"/>
  <c r="B38"/>
  <c r="J38"/>
  <c r="F39"/>
  <c r="B40"/>
  <c r="J40"/>
  <c r="F41"/>
  <c r="B42"/>
  <c r="J42"/>
  <c r="F43"/>
  <c r="B44"/>
  <c r="J44"/>
  <c r="F45"/>
  <c r="B46"/>
  <c r="J46"/>
  <c r="F47"/>
  <c r="B48"/>
  <c r="J48"/>
  <c r="F49"/>
  <c r="B50"/>
  <c r="J50"/>
  <c r="F51"/>
  <c r="B52"/>
  <c r="J52"/>
  <c r="B67"/>
  <c r="J67"/>
  <c r="F68"/>
  <c r="B69"/>
  <c r="J69"/>
  <c r="F70"/>
  <c r="F67"/>
  <c r="B68"/>
  <c r="J68"/>
  <c r="F69"/>
  <c r="F8" i="16"/>
  <c r="C9"/>
  <c r="F9"/>
  <c r="B10" i="1"/>
  <c r="A11"/>
  <c r="N6" i="2"/>
  <c r="E6" i="10"/>
  <c r="F6" i="13"/>
  <c r="F6" i="10"/>
  <c r="O6" i="2"/>
  <c r="G6" i="13"/>
  <c r="A12" i="1"/>
  <c r="B11"/>
  <c r="B12"/>
  <c r="A13"/>
  <c r="H6" i="13"/>
  <c r="P6" i="2"/>
  <c r="G6" i="10"/>
  <c r="H6"/>
  <c r="Q6" i="2"/>
  <c r="P9"/>
  <c r="P11"/>
  <c r="P13"/>
  <c r="P15"/>
  <c r="P17"/>
  <c r="P19"/>
  <c r="P21"/>
  <c r="P23"/>
  <c r="P25"/>
  <c r="P27"/>
  <c r="P29"/>
  <c r="P31"/>
  <c r="P33"/>
  <c r="P12"/>
  <c r="P16"/>
  <c r="P20"/>
  <c r="P24"/>
  <c r="P28"/>
  <c r="P32"/>
  <c r="P10"/>
  <c r="P14"/>
  <c r="P18"/>
  <c r="P22"/>
  <c r="P26"/>
  <c r="P30"/>
  <c r="I6" i="13"/>
  <c r="A14" i="1"/>
  <c r="B13"/>
  <c r="B14"/>
  <c r="A15"/>
  <c r="J6" i="13"/>
  <c r="R6" i="2"/>
  <c r="M10"/>
  <c r="M14"/>
  <c r="M18"/>
  <c r="M22"/>
  <c r="M26"/>
  <c r="M30"/>
  <c r="M9"/>
  <c r="M12"/>
  <c r="M16"/>
  <c r="M20"/>
  <c r="M24"/>
  <c r="M28"/>
  <c r="M32"/>
  <c r="M11"/>
  <c r="M15"/>
  <c r="M19"/>
  <c r="M23"/>
  <c r="M27"/>
  <c r="M31"/>
  <c r="M13"/>
  <c r="M17"/>
  <c r="M21"/>
  <c r="M25"/>
  <c r="M29"/>
  <c r="M33"/>
  <c r="N9"/>
  <c r="N13"/>
  <c r="N17"/>
  <c r="N21"/>
  <c r="N25"/>
  <c r="N29"/>
  <c r="N33"/>
  <c r="N14"/>
  <c r="N22"/>
  <c r="N30"/>
  <c r="N16"/>
  <c r="N24"/>
  <c r="N32"/>
  <c r="N11"/>
  <c r="N15"/>
  <c r="N19"/>
  <c r="N23"/>
  <c r="N27"/>
  <c r="N31"/>
  <c r="N10"/>
  <c r="N18"/>
  <c r="N26"/>
  <c r="N12"/>
  <c r="N20"/>
  <c r="N28"/>
  <c r="O14"/>
  <c r="O26"/>
  <c r="O11"/>
  <c r="O27"/>
  <c r="O17"/>
  <c r="O33"/>
  <c r="O12"/>
  <c r="O16"/>
  <c r="O20"/>
  <c r="O24"/>
  <c r="O28"/>
  <c r="O32"/>
  <c r="O15"/>
  <c r="O23"/>
  <c r="O31"/>
  <c r="O13"/>
  <c r="O21"/>
  <c r="O29"/>
  <c r="O10"/>
  <c r="O18"/>
  <c r="O22"/>
  <c r="O30"/>
  <c r="O19"/>
  <c r="O9"/>
  <c r="O25"/>
  <c r="I6" i="10"/>
  <c r="S6" i="2"/>
  <c r="K6" i="13"/>
  <c r="J6" i="10"/>
  <c r="A16" i="1"/>
  <c r="B15"/>
  <c r="L6" i="13"/>
  <c r="K31"/>
  <c r="K33"/>
  <c r="K32"/>
  <c r="K30"/>
  <c r="K28"/>
  <c r="K26"/>
  <c r="K24"/>
  <c r="K29"/>
  <c r="K25"/>
  <c r="K23"/>
  <c r="K21"/>
  <c r="K19"/>
  <c r="K17"/>
  <c r="K15"/>
  <c r="K13"/>
  <c r="K11"/>
  <c r="K9"/>
  <c r="K27"/>
  <c r="K22"/>
  <c r="K20"/>
  <c r="K18"/>
  <c r="K16"/>
  <c r="K14"/>
  <c r="K12"/>
  <c r="K10"/>
  <c r="T6" i="2"/>
  <c r="B16" i="1"/>
  <c r="A17"/>
  <c r="K6" i="10"/>
  <c r="A18" i="1"/>
  <c r="B17"/>
  <c r="U6" i="2"/>
  <c r="D33" i="13"/>
  <c r="D32"/>
  <c r="M6"/>
  <c r="C33"/>
  <c r="C32"/>
  <c r="D31"/>
  <c r="C30"/>
  <c r="D29"/>
  <c r="C28"/>
  <c r="D27"/>
  <c r="C26"/>
  <c r="D25"/>
  <c r="E31"/>
  <c r="C29"/>
  <c r="D28"/>
  <c r="E27"/>
  <c r="C25"/>
  <c r="D24"/>
  <c r="E23"/>
  <c r="C23"/>
  <c r="D22"/>
  <c r="E21"/>
  <c r="C21"/>
  <c r="D20"/>
  <c r="E19"/>
  <c r="C19"/>
  <c r="D18"/>
  <c r="E17"/>
  <c r="C17"/>
  <c r="D16"/>
  <c r="E15"/>
  <c r="C15"/>
  <c r="D14"/>
  <c r="E13"/>
  <c r="C13"/>
  <c r="D12"/>
  <c r="E11"/>
  <c r="C11"/>
  <c r="D10"/>
  <c r="E9"/>
  <c r="C9"/>
  <c r="C31"/>
  <c r="D30"/>
  <c r="E29"/>
  <c r="C27"/>
  <c r="D26"/>
  <c r="E25"/>
  <c r="C24"/>
  <c r="D23"/>
  <c r="E22"/>
  <c r="C22"/>
  <c r="D21"/>
  <c r="E20"/>
  <c r="C20"/>
  <c r="D19"/>
  <c r="E18"/>
  <c r="C18"/>
  <c r="D17"/>
  <c r="E16"/>
  <c r="C16"/>
  <c r="D15"/>
  <c r="E14"/>
  <c r="C14"/>
  <c r="D13"/>
  <c r="E12"/>
  <c r="C12"/>
  <c r="D11"/>
  <c r="E10"/>
  <c r="C10"/>
  <c r="D9"/>
  <c r="E32"/>
  <c r="E24"/>
  <c r="E33"/>
  <c r="E30"/>
  <c r="E26"/>
  <c r="E28"/>
  <c r="F32"/>
  <c r="F31"/>
  <c r="F27"/>
  <c r="F30"/>
  <c r="F22"/>
  <c r="F18"/>
  <c r="F14"/>
  <c r="F10"/>
  <c r="F24"/>
  <c r="F21"/>
  <c r="F17"/>
  <c r="F13"/>
  <c r="F9"/>
  <c r="F33"/>
  <c r="F29"/>
  <c r="F25"/>
  <c r="F26"/>
  <c r="F20"/>
  <c r="F16"/>
  <c r="F12"/>
  <c r="F28"/>
  <c r="F23"/>
  <c r="F19"/>
  <c r="F15"/>
  <c r="F11"/>
  <c r="G32"/>
  <c r="G21"/>
  <c r="G13"/>
  <c r="G18"/>
  <c r="G10"/>
  <c r="G33"/>
  <c r="G30"/>
  <c r="G26"/>
  <c r="G29"/>
  <c r="G23"/>
  <c r="G19"/>
  <c r="G15"/>
  <c r="G11"/>
  <c r="G27"/>
  <c r="G20"/>
  <c r="G16"/>
  <c r="G12"/>
  <c r="G31"/>
  <c r="G28"/>
  <c r="G24"/>
  <c r="G25"/>
  <c r="G17"/>
  <c r="G9"/>
  <c r="G22"/>
  <c r="G14"/>
  <c r="H27"/>
  <c r="H18"/>
  <c r="H26"/>
  <c r="H17"/>
  <c r="H9"/>
  <c r="H33"/>
  <c r="H29"/>
  <c r="H25"/>
  <c r="H24"/>
  <c r="H20"/>
  <c r="H16"/>
  <c r="H12"/>
  <c r="H30"/>
  <c r="H23"/>
  <c r="H19"/>
  <c r="H15"/>
  <c r="H11"/>
  <c r="H32"/>
  <c r="H31"/>
  <c r="H28"/>
  <c r="H22"/>
  <c r="H14"/>
  <c r="H10"/>
  <c r="H21"/>
  <c r="H13"/>
  <c r="I31"/>
  <c r="I32"/>
  <c r="I28"/>
  <c r="I24"/>
  <c r="I23"/>
  <c r="I19"/>
  <c r="I15"/>
  <c r="I11"/>
  <c r="I29"/>
  <c r="I22"/>
  <c r="I18"/>
  <c r="I14"/>
  <c r="I10"/>
  <c r="I33"/>
  <c r="I30"/>
  <c r="I26"/>
  <c r="I27"/>
  <c r="I21"/>
  <c r="I17"/>
  <c r="I13"/>
  <c r="I9"/>
  <c r="I25"/>
  <c r="I20"/>
  <c r="I16"/>
  <c r="I12"/>
  <c r="J32"/>
  <c r="J31"/>
  <c r="J27"/>
  <c r="J30"/>
  <c r="J22"/>
  <c r="J18"/>
  <c r="J14"/>
  <c r="J10"/>
  <c r="J24"/>
  <c r="J21"/>
  <c r="J17"/>
  <c r="J13"/>
  <c r="J9"/>
  <c r="J33"/>
  <c r="J29"/>
  <c r="J26"/>
  <c r="J16"/>
  <c r="J28"/>
  <c r="J19"/>
  <c r="J15"/>
  <c r="J25"/>
  <c r="J20"/>
  <c r="J12"/>
  <c r="J23"/>
  <c r="J11"/>
  <c r="L6" i="10"/>
  <c r="K32"/>
  <c r="K29"/>
  <c r="K25"/>
  <c r="K21"/>
  <c r="K17"/>
  <c r="K13"/>
  <c r="K9"/>
  <c r="K28"/>
  <c r="K24"/>
  <c r="K20"/>
  <c r="K16"/>
  <c r="K12"/>
  <c r="N6" i="13"/>
  <c r="V6" i="2"/>
  <c r="U9"/>
  <c r="U10"/>
  <c r="U11"/>
  <c r="U12"/>
  <c r="U13"/>
  <c r="U14"/>
  <c r="U15"/>
  <c r="U16"/>
  <c r="U17"/>
  <c r="U18"/>
  <c r="U19"/>
  <c r="U20"/>
  <c r="U21"/>
  <c r="U22"/>
  <c r="U23"/>
  <c r="U24"/>
  <c r="U25"/>
  <c r="U26"/>
  <c r="U27"/>
  <c r="U28"/>
  <c r="U29"/>
  <c r="U30"/>
  <c r="U31"/>
  <c r="U32"/>
  <c r="U33"/>
  <c r="B18" i="1"/>
  <c r="A19"/>
  <c r="K33" i="10"/>
  <c r="K10"/>
  <c r="K14"/>
  <c r="K18"/>
  <c r="K22"/>
  <c r="K26"/>
  <c r="K30"/>
  <c r="K11"/>
  <c r="K15"/>
  <c r="K19"/>
  <c r="K23"/>
  <c r="K27"/>
  <c r="K31"/>
  <c r="C32"/>
  <c r="M6"/>
  <c r="C33"/>
  <c r="C31"/>
  <c r="C29"/>
  <c r="C27"/>
  <c r="C25"/>
  <c r="C23"/>
  <c r="C21"/>
  <c r="C19"/>
  <c r="C17"/>
  <c r="C15"/>
  <c r="C13"/>
  <c r="C11"/>
  <c r="C9"/>
  <c r="D32"/>
  <c r="D31"/>
  <c r="C30"/>
  <c r="D29"/>
  <c r="C28"/>
  <c r="D27"/>
  <c r="C26"/>
  <c r="D25"/>
  <c r="C24"/>
  <c r="D23"/>
  <c r="C22"/>
  <c r="D21"/>
  <c r="C20"/>
  <c r="D19"/>
  <c r="C18"/>
  <c r="D17"/>
  <c r="C16"/>
  <c r="D15"/>
  <c r="C14"/>
  <c r="D13"/>
  <c r="C12"/>
  <c r="D11"/>
  <c r="C10"/>
  <c r="D9"/>
  <c r="D33"/>
  <c r="D10"/>
  <c r="D14"/>
  <c r="D18"/>
  <c r="D22"/>
  <c r="D26"/>
  <c r="D30"/>
  <c r="D12"/>
  <c r="D16"/>
  <c r="D20"/>
  <c r="D24"/>
  <c r="D28"/>
  <c r="E32"/>
  <c r="E31"/>
  <c r="E27"/>
  <c r="E23"/>
  <c r="E19"/>
  <c r="E15"/>
  <c r="E11"/>
  <c r="E30"/>
  <c r="E26"/>
  <c r="E22"/>
  <c r="E18"/>
  <c r="E14"/>
  <c r="E10"/>
  <c r="E33"/>
  <c r="E29"/>
  <c r="E25"/>
  <c r="E21"/>
  <c r="E17"/>
  <c r="E13"/>
  <c r="E9"/>
  <c r="E28"/>
  <c r="E24"/>
  <c r="E20"/>
  <c r="E16"/>
  <c r="E12"/>
  <c r="F30"/>
  <c r="F22"/>
  <c r="F10"/>
  <c r="F25"/>
  <c r="F17"/>
  <c r="F33"/>
  <c r="F32"/>
  <c r="F28"/>
  <c r="F24"/>
  <c r="F20"/>
  <c r="F16"/>
  <c r="F12"/>
  <c r="F31"/>
  <c r="F27"/>
  <c r="F23"/>
  <c r="F19"/>
  <c r="F15"/>
  <c r="F11"/>
  <c r="F26"/>
  <c r="F18"/>
  <c r="F14"/>
  <c r="F29"/>
  <c r="F21"/>
  <c r="F13"/>
  <c r="F9"/>
  <c r="G32"/>
  <c r="G31"/>
  <c r="G27"/>
  <c r="G23"/>
  <c r="G19"/>
  <c r="G15"/>
  <c r="G11"/>
  <c r="G30"/>
  <c r="G26"/>
  <c r="G22"/>
  <c r="G18"/>
  <c r="G14"/>
  <c r="G33"/>
  <c r="G29"/>
  <c r="G25"/>
  <c r="G21"/>
  <c r="G17"/>
  <c r="G13"/>
  <c r="G9"/>
  <c r="G28"/>
  <c r="G24"/>
  <c r="G20"/>
  <c r="G16"/>
  <c r="G12"/>
  <c r="G10"/>
  <c r="H24"/>
  <c r="H16"/>
  <c r="H32"/>
  <c r="H21"/>
  <c r="H13"/>
  <c r="H33"/>
  <c r="H30"/>
  <c r="H26"/>
  <c r="H22"/>
  <c r="H18"/>
  <c r="H14"/>
  <c r="H10"/>
  <c r="H31"/>
  <c r="H27"/>
  <c r="H23"/>
  <c r="H19"/>
  <c r="H15"/>
  <c r="H11"/>
  <c r="H28"/>
  <c r="H20"/>
  <c r="H12"/>
  <c r="H29"/>
  <c r="H25"/>
  <c r="H17"/>
  <c r="H9"/>
  <c r="I32"/>
  <c r="I31"/>
  <c r="I27"/>
  <c r="I23"/>
  <c r="I19"/>
  <c r="I15"/>
  <c r="I11"/>
  <c r="I30"/>
  <c r="I26"/>
  <c r="I22"/>
  <c r="I18"/>
  <c r="I14"/>
  <c r="I10"/>
  <c r="I29"/>
  <c r="I21"/>
  <c r="I17"/>
  <c r="I9"/>
  <c r="I24"/>
  <c r="I16"/>
  <c r="I33"/>
  <c r="I25"/>
  <c r="I13"/>
  <c r="I28"/>
  <c r="I20"/>
  <c r="I12"/>
  <c r="J26"/>
  <c r="J18"/>
  <c r="J10"/>
  <c r="J21"/>
  <c r="J13"/>
  <c r="J33"/>
  <c r="J32"/>
  <c r="J28"/>
  <c r="J24"/>
  <c r="J20"/>
  <c r="J16"/>
  <c r="J12"/>
  <c r="J31"/>
  <c r="J27"/>
  <c r="J23"/>
  <c r="J19"/>
  <c r="J15"/>
  <c r="J11"/>
  <c r="J30"/>
  <c r="J22"/>
  <c r="J14"/>
  <c r="J29"/>
  <c r="J25"/>
  <c r="J17"/>
  <c r="J9"/>
  <c r="N6"/>
  <c r="W6" i="2"/>
  <c r="R10"/>
  <c r="R12"/>
  <c r="R14"/>
  <c r="R16"/>
  <c r="R18"/>
  <c r="R20"/>
  <c r="R22"/>
  <c r="R24"/>
  <c r="R26"/>
  <c r="R28"/>
  <c r="R30"/>
  <c r="R32"/>
  <c r="R9"/>
  <c r="R11"/>
  <c r="R15"/>
  <c r="R19"/>
  <c r="R23"/>
  <c r="R27"/>
  <c r="R31"/>
  <c r="R13"/>
  <c r="R17"/>
  <c r="R21"/>
  <c r="R25"/>
  <c r="R29"/>
  <c r="R33"/>
  <c r="S13"/>
  <c r="S19"/>
  <c r="S23"/>
  <c r="S27"/>
  <c r="S31"/>
  <c r="S10"/>
  <c r="S12"/>
  <c r="S14"/>
  <c r="S16"/>
  <c r="S18"/>
  <c r="S20"/>
  <c r="S22"/>
  <c r="S24"/>
  <c r="S26"/>
  <c r="S28"/>
  <c r="S30"/>
  <c r="S32"/>
  <c r="S9"/>
  <c r="S11"/>
  <c r="S15"/>
  <c r="S17"/>
  <c r="S21"/>
  <c r="S25"/>
  <c r="S29"/>
  <c r="S33"/>
  <c r="T10"/>
  <c r="T12"/>
  <c r="T14"/>
  <c r="T16"/>
  <c r="T18"/>
  <c r="T20"/>
  <c r="T22"/>
  <c r="T24"/>
  <c r="T26"/>
  <c r="T28"/>
  <c r="T30"/>
  <c r="T32"/>
  <c r="T9"/>
  <c r="T11"/>
  <c r="T13"/>
  <c r="T15"/>
  <c r="T17"/>
  <c r="T19"/>
  <c r="T21"/>
  <c r="T23"/>
  <c r="T25"/>
  <c r="T27"/>
  <c r="T29"/>
  <c r="T31"/>
  <c r="T33"/>
  <c r="O6" i="13"/>
  <c r="A20" i="1"/>
  <c r="B19"/>
  <c r="P6" i="13"/>
  <c r="B20" i="1"/>
  <c r="A21"/>
  <c r="X6" i="2"/>
  <c r="O6" i="10"/>
  <c r="P6"/>
  <c r="Y6" i="2"/>
  <c r="Q6" i="13"/>
  <c r="P31"/>
  <c r="P32"/>
  <c r="P28"/>
  <c r="P24"/>
  <c r="P25"/>
  <c r="P21"/>
  <c r="P17"/>
  <c r="P13"/>
  <c r="P9"/>
  <c r="P22"/>
  <c r="P18"/>
  <c r="P14"/>
  <c r="P10"/>
  <c r="A22" i="1"/>
  <c r="B21"/>
  <c r="B22"/>
  <c r="A23"/>
  <c r="Z6" i="2"/>
  <c r="Q6" i="10"/>
  <c r="P32"/>
  <c r="P31"/>
  <c r="P27"/>
  <c r="P23"/>
  <c r="P19"/>
  <c r="P15"/>
  <c r="P11"/>
  <c r="P30"/>
  <c r="P26"/>
  <c r="P22"/>
  <c r="P18"/>
  <c r="P14"/>
  <c r="P10"/>
  <c r="P12" i="13"/>
  <c r="P16"/>
  <c r="P20"/>
  <c r="P27"/>
  <c r="P11"/>
  <c r="P15"/>
  <c r="P19"/>
  <c r="P23"/>
  <c r="P29"/>
  <c r="P26"/>
  <c r="P30"/>
  <c r="P33"/>
  <c r="R6"/>
  <c r="M33"/>
  <c r="M31"/>
  <c r="M27"/>
  <c r="M28"/>
  <c r="M22"/>
  <c r="M18"/>
  <c r="M14"/>
  <c r="M10"/>
  <c r="M26"/>
  <c r="M21"/>
  <c r="M17"/>
  <c r="M13"/>
  <c r="M9"/>
  <c r="M32"/>
  <c r="M29"/>
  <c r="M25"/>
  <c r="M24"/>
  <c r="M20"/>
  <c r="M16"/>
  <c r="M12"/>
  <c r="M30"/>
  <c r="M23"/>
  <c r="M19"/>
  <c r="M15"/>
  <c r="M11"/>
  <c r="N28"/>
  <c r="N19"/>
  <c r="N11"/>
  <c r="N18"/>
  <c r="N10"/>
  <c r="N31"/>
  <c r="N33"/>
  <c r="N30"/>
  <c r="N26"/>
  <c r="N27"/>
  <c r="N21"/>
  <c r="N17"/>
  <c r="N13"/>
  <c r="N9"/>
  <c r="N25"/>
  <c r="N20"/>
  <c r="N16"/>
  <c r="N12"/>
  <c r="N32"/>
  <c r="N24"/>
  <c r="N23"/>
  <c r="N15"/>
  <c r="N29"/>
  <c r="N22"/>
  <c r="N14"/>
  <c r="O33"/>
  <c r="O27"/>
  <c r="O18"/>
  <c r="O10"/>
  <c r="O21"/>
  <c r="O13"/>
  <c r="O32"/>
  <c r="O29"/>
  <c r="O25"/>
  <c r="O26"/>
  <c r="O20"/>
  <c r="O16"/>
  <c r="O12"/>
  <c r="O28"/>
  <c r="O23"/>
  <c r="O19"/>
  <c r="O15"/>
  <c r="O11"/>
  <c r="O31"/>
  <c r="O30"/>
  <c r="O22"/>
  <c r="O14"/>
  <c r="O24"/>
  <c r="O17"/>
  <c r="O9"/>
  <c r="S6"/>
  <c r="AA6" i="2"/>
  <c r="Z9"/>
  <c r="Z10"/>
  <c r="Z11"/>
  <c r="Z12"/>
  <c r="Z13"/>
  <c r="Z14"/>
  <c r="Z15"/>
  <c r="Z16"/>
  <c r="Z17"/>
  <c r="Z18"/>
  <c r="Z19"/>
  <c r="Z20"/>
  <c r="Z21"/>
  <c r="Z22"/>
  <c r="Z23"/>
  <c r="Z24"/>
  <c r="Z25"/>
  <c r="Z26"/>
  <c r="Z27"/>
  <c r="Z28"/>
  <c r="Z29"/>
  <c r="Z30"/>
  <c r="Z31"/>
  <c r="Z32"/>
  <c r="Z33"/>
  <c r="P12" i="10"/>
  <c r="P16"/>
  <c r="P20"/>
  <c r="P24"/>
  <c r="P28"/>
  <c r="P9"/>
  <c r="P13"/>
  <c r="P17"/>
  <c r="P21"/>
  <c r="P25"/>
  <c r="P29"/>
  <c r="P33"/>
  <c r="R6"/>
  <c r="M33"/>
  <c r="M28"/>
  <c r="M24"/>
  <c r="M20"/>
  <c r="M16"/>
  <c r="M12"/>
  <c r="M32"/>
  <c r="M29"/>
  <c r="M25"/>
  <c r="M21"/>
  <c r="M17"/>
  <c r="M13"/>
  <c r="M9"/>
  <c r="M30"/>
  <c r="M26"/>
  <c r="M22"/>
  <c r="M18"/>
  <c r="M14"/>
  <c r="M10"/>
  <c r="M31"/>
  <c r="M27"/>
  <c r="M23"/>
  <c r="M19"/>
  <c r="M15"/>
  <c r="M11"/>
  <c r="N31"/>
  <c r="N19"/>
  <c r="N11"/>
  <c r="N26"/>
  <c r="N18"/>
  <c r="N32"/>
  <c r="N33"/>
  <c r="N29"/>
  <c r="N25"/>
  <c r="N21"/>
  <c r="N17"/>
  <c r="N13"/>
  <c r="N9"/>
  <c r="N28"/>
  <c r="N24"/>
  <c r="N20"/>
  <c r="N16"/>
  <c r="N12"/>
  <c r="N27"/>
  <c r="N23"/>
  <c r="N15"/>
  <c r="N30"/>
  <c r="N22"/>
  <c r="N14"/>
  <c r="N10"/>
  <c r="O33"/>
  <c r="O26"/>
  <c r="O18"/>
  <c r="O29"/>
  <c r="O21"/>
  <c r="O13"/>
  <c r="O32"/>
  <c r="O28"/>
  <c r="O24"/>
  <c r="O20"/>
  <c r="O16"/>
  <c r="O12"/>
  <c r="O31"/>
  <c r="O27"/>
  <c r="O23"/>
  <c r="O19"/>
  <c r="O15"/>
  <c r="O11"/>
  <c r="O30"/>
  <c r="O22"/>
  <c r="O14"/>
  <c r="O10"/>
  <c r="O25"/>
  <c r="O17"/>
  <c r="O9"/>
  <c r="A24" i="1"/>
  <c r="B23"/>
  <c r="B24"/>
  <c r="A25"/>
  <c r="S6" i="10"/>
  <c r="AB6" i="2"/>
  <c r="W14"/>
  <c r="W20"/>
  <c r="W24"/>
  <c r="W28"/>
  <c r="W9"/>
  <c r="W11"/>
  <c r="W13"/>
  <c r="W15"/>
  <c r="W17"/>
  <c r="W19"/>
  <c r="W21"/>
  <c r="W23"/>
  <c r="W25"/>
  <c r="W27"/>
  <c r="W29"/>
  <c r="W31"/>
  <c r="W33"/>
  <c r="W10"/>
  <c r="W12"/>
  <c r="W16"/>
  <c r="W18"/>
  <c r="W22"/>
  <c r="W26"/>
  <c r="W30"/>
  <c r="W32"/>
  <c r="X9"/>
  <c r="X13"/>
  <c r="X17"/>
  <c r="X21"/>
  <c r="X27"/>
  <c r="X31"/>
  <c r="X10"/>
  <c r="X12"/>
  <c r="X14"/>
  <c r="X16"/>
  <c r="X18"/>
  <c r="X20"/>
  <c r="X22"/>
  <c r="X24"/>
  <c r="X26"/>
  <c r="X28"/>
  <c r="X30"/>
  <c r="X32"/>
  <c r="X11"/>
  <c r="X15"/>
  <c r="X19"/>
  <c r="X23"/>
  <c r="X25"/>
  <c r="X29"/>
  <c r="X33"/>
  <c r="Y10"/>
  <c r="Y12"/>
  <c r="Y14"/>
  <c r="Y16"/>
  <c r="Y18"/>
  <c r="Y20"/>
  <c r="Y22"/>
  <c r="Y24"/>
  <c r="Y26"/>
  <c r="Y28"/>
  <c r="Y30"/>
  <c r="Y32"/>
  <c r="Y9"/>
  <c r="Y11"/>
  <c r="Y13"/>
  <c r="Y15"/>
  <c r="Y17"/>
  <c r="Y19"/>
  <c r="Y21"/>
  <c r="Y23"/>
  <c r="Y25"/>
  <c r="Y27"/>
  <c r="Y29"/>
  <c r="Y31"/>
  <c r="Y33"/>
  <c r="T6" i="13"/>
  <c r="U6"/>
  <c r="AC6" i="2"/>
  <c r="T6" i="10"/>
  <c r="A26" i="1"/>
  <c r="B25"/>
  <c r="B26"/>
  <c r="A27"/>
  <c r="U6" i="10"/>
  <c r="V6" i="13"/>
  <c r="U31"/>
  <c r="U33"/>
  <c r="U32"/>
  <c r="U30"/>
  <c r="U28"/>
  <c r="U26"/>
  <c r="U24"/>
  <c r="U29"/>
  <c r="U25"/>
  <c r="U23"/>
  <c r="U21"/>
  <c r="U19"/>
  <c r="U17"/>
  <c r="U15"/>
  <c r="U13"/>
  <c r="U11"/>
  <c r="U9"/>
  <c r="U27"/>
  <c r="U22"/>
  <c r="U20"/>
  <c r="U18"/>
  <c r="U16"/>
  <c r="U14"/>
  <c r="U12"/>
  <c r="U10"/>
  <c r="AD6" i="2"/>
  <c r="AE6"/>
  <c r="W6" i="13"/>
  <c r="R32"/>
  <c r="R31"/>
  <c r="R27"/>
  <c r="R28"/>
  <c r="R22"/>
  <c r="R18"/>
  <c r="R14"/>
  <c r="R10"/>
  <c r="R26"/>
  <c r="R21"/>
  <c r="R17"/>
  <c r="R13"/>
  <c r="R9"/>
  <c r="R33"/>
  <c r="R29"/>
  <c r="R25"/>
  <c r="R24"/>
  <c r="R20"/>
  <c r="R16"/>
  <c r="R12"/>
  <c r="R30"/>
  <c r="R23"/>
  <c r="R19"/>
  <c r="R15"/>
  <c r="R11"/>
  <c r="S28"/>
  <c r="S19"/>
  <c r="S11"/>
  <c r="S18"/>
  <c r="S10"/>
  <c r="S33"/>
  <c r="S30"/>
  <c r="S26"/>
  <c r="S27"/>
  <c r="S21"/>
  <c r="S17"/>
  <c r="S13"/>
  <c r="S9"/>
  <c r="S25"/>
  <c r="S20"/>
  <c r="S16"/>
  <c r="S12"/>
  <c r="S31"/>
  <c r="S32"/>
  <c r="S24"/>
  <c r="S23"/>
  <c r="S15"/>
  <c r="S29"/>
  <c r="S22"/>
  <c r="S14"/>
  <c r="T32"/>
  <c r="T22"/>
  <c r="T14"/>
  <c r="T24"/>
  <c r="T13"/>
  <c r="T33"/>
  <c r="T29"/>
  <c r="T25"/>
  <c r="T26"/>
  <c r="T20"/>
  <c r="T16"/>
  <c r="T12"/>
  <c r="T28"/>
  <c r="T23"/>
  <c r="T19"/>
  <c r="T15"/>
  <c r="T11"/>
  <c r="T31"/>
  <c r="T27"/>
  <c r="T30"/>
  <c r="T18"/>
  <c r="T10"/>
  <c r="T21"/>
  <c r="T17"/>
  <c r="T9"/>
  <c r="V6" i="10"/>
  <c r="U32"/>
  <c r="U33"/>
  <c r="U31"/>
  <c r="U29"/>
  <c r="U27"/>
  <c r="U25"/>
  <c r="U23"/>
  <c r="U21"/>
  <c r="U19"/>
  <c r="U17"/>
  <c r="U15"/>
  <c r="U13"/>
  <c r="U11"/>
  <c r="U9"/>
  <c r="U30"/>
  <c r="U28"/>
  <c r="U26"/>
  <c r="U24"/>
  <c r="U22"/>
  <c r="U20"/>
  <c r="U18"/>
  <c r="U16"/>
  <c r="U14"/>
  <c r="U12"/>
  <c r="U10"/>
  <c r="A28" i="1"/>
  <c r="B27"/>
  <c r="B28"/>
  <c r="A29"/>
  <c r="W6" i="10"/>
  <c r="R31"/>
  <c r="R32"/>
  <c r="R28"/>
  <c r="R24"/>
  <c r="R20"/>
  <c r="R16"/>
  <c r="R12"/>
  <c r="R29"/>
  <c r="R25"/>
  <c r="R21"/>
  <c r="R17"/>
  <c r="R13"/>
  <c r="R9"/>
  <c r="R33"/>
  <c r="R30"/>
  <c r="R26"/>
  <c r="R22"/>
  <c r="R18"/>
  <c r="R14"/>
  <c r="R10"/>
  <c r="R27"/>
  <c r="R23"/>
  <c r="R19"/>
  <c r="R15"/>
  <c r="R11"/>
  <c r="S32"/>
  <c r="S21"/>
  <c r="S13"/>
  <c r="S26"/>
  <c r="S18"/>
  <c r="S10"/>
  <c r="S33"/>
  <c r="S27"/>
  <c r="S23"/>
  <c r="S19"/>
  <c r="S15"/>
  <c r="S11"/>
  <c r="S31"/>
  <c r="S28"/>
  <c r="S24"/>
  <c r="S20"/>
  <c r="S16"/>
  <c r="S12"/>
  <c r="S29"/>
  <c r="S25"/>
  <c r="S17"/>
  <c r="S9"/>
  <c r="S30"/>
  <c r="S22"/>
  <c r="S14"/>
  <c r="T31"/>
  <c r="T32"/>
  <c r="T28"/>
  <c r="T24"/>
  <c r="T20"/>
  <c r="T16"/>
  <c r="T12"/>
  <c r="T29"/>
  <c r="T21"/>
  <c r="T17"/>
  <c r="T9"/>
  <c r="T33"/>
  <c r="T30"/>
  <c r="T26"/>
  <c r="T22"/>
  <c r="T18"/>
  <c r="T14"/>
  <c r="T10"/>
  <c r="T27"/>
  <c r="T23"/>
  <c r="T19"/>
  <c r="T15"/>
  <c r="T11"/>
  <c r="T25"/>
  <c r="T13"/>
  <c r="X6" i="13"/>
  <c r="AF6" i="2"/>
  <c r="AE10"/>
  <c r="AE11"/>
  <c r="AE12"/>
  <c r="AE13"/>
  <c r="AE14"/>
  <c r="AE15"/>
  <c r="AE16"/>
  <c r="AE17"/>
  <c r="AE18"/>
  <c r="AE19"/>
  <c r="AE20"/>
  <c r="AE21"/>
  <c r="AE22"/>
  <c r="AE23"/>
  <c r="AE24"/>
  <c r="AE25"/>
  <c r="AE26"/>
  <c r="AE27"/>
  <c r="AE28"/>
  <c r="AE29"/>
  <c r="AE30"/>
  <c r="AE31"/>
  <c r="AE32"/>
  <c r="AE33"/>
  <c r="AE9"/>
  <c r="AB15"/>
  <c r="AB19"/>
  <c r="AB23"/>
  <c r="AB27"/>
  <c r="AB31"/>
  <c r="AB9"/>
  <c r="AB10"/>
  <c r="AB12"/>
  <c r="AB14"/>
  <c r="AB16"/>
  <c r="AB18"/>
  <c r="AB20"/>
  <c r="AB22"/>
  <c r="AB24"/>
  <c r="AB26"/>
  <c r="AB28"/>
  <c r="AB30"/>
  <c r="AB32"/>
  <c r="AB11"/>
  <c r="AB13"/>
  <c r="AB17"/>
  <c r="AB21"/>
  <c r="AB25"/>
  <c r="AB29"/>
  <c r="AB33"/>
  <c r="AC16"/>
  <c r="AC22"/>
  <c r="AC26"/>
  <c r="AC30"/>
  <c r="AC9"/>
  <c r="AC11"/>
  <c r="AC13"/>
  <c r="AC15"/>
  <c r="AC17"/>
  <c r="AC19"/>
  <c r="AC21"/>
  <c r="AC23"/>
  <c r="AC25"/>
  <c r="AC27"/>
  <c r="AC29"/>
  <c r="AC31"/>
  <c r="AC33"/>
  <c r="AC10"/>
  <c r="AC12"/>
  <c r="AC14"/>
  <c r="AC18"/>
  <c r="AC20"/>
  <c r="AC24"/>
  <c r="AC28"/>
  <c r="AC32"/>
  <c r="AD11"/>
  <c r="AD13"/>
  <c r="AD15"/>
  <c r="AD17"/>
  <c r="AD19"/>
  <c r="AD21"/>
  <c r="AD23"/>
  <c r="AD25"/>
  <c r="AD27"/>
  <c r="AD29"/>
  <c r="AD31"/>
  <c r="AD33"/>
  <c r="AD9"/>
  <c r="AD10"/>
  <c r="AD12"/>
  <c r="AD14"/>
  <c r="AD16"/>
  <c r="AD18"/>
  <c r="AD20"/>
  <c r="AD22"/>
  <c r="AD24"/>
  <c r="AD26"/>
  <c r="AD28"/>
  <c r="AD30"/>
  <c r="AD32"/>
  <c r="Y6" i="13"/>
  <c r="X6" i="10"/>
  <c r="A30" i="1"/>
  <c r="B29"/>
  <c r="B30"/>
  <c r="A31"/>
  <c r="Y6" i="10"/>
  <c r="Z6" i="13"/>
  <c r="Z6" i="10"/>
  <c r="A32" i="1"/>
  <c r="B32"/>
  <c r="B31"/>
  <c r="AA6" i="13"/>
  <c r="Z32"/>
  <c r="Z28"/>
  <c r="Z24"/>
  <c r="Z25"/>
  <c r="Z21"/>
  <c r="Z17"/>
  <c r="Z13"/>
  <c r="Z9"/>
  <c r="Z22"/>
  <c r="Z18"/>
  <c r="Z14"/>
  <c r="Z10"/>
  <c r="AB6"/>
  <c r="W33"/>
  <c r="W27"/>
  <c r="W22"/>
  <c r="W14"/>
  <c r="W26"/>
  <c r="W17"/>
  <c r="W9"/>
  <c r="W32"/>
  <c r="W29"/>
  <c r="W25"/>
  <c r="W24"/>
  <c r="W20"/>
  <c r="W16"/>
  <c r="W12"/>
  <c r="W30"/>
  <c r="W23"/>
  <c r="W19"/>
  <c r="W15"/>
  <c r="W11"/>
  <c r="W31"/>
  <c r="W28"/>
  <c r="W18"/>
  <c r="W10"/>
  <c r="W21"/>
  <c r="W13"/>
  <c r="X33"/>
  <c r="X21"/>
  <c r="X13"/>
  <c r="X25"/>
  <c r="X16"/>
  <c r="X32"/>
  <c r="X28"/>
  <c r="X24"/>
  <c r="X23"/>
  <c r="X19"/>
  <c r="X15"/>
  <c r="X11"/>
  <c r="X29"/>
  <c r="X22"/>
  <c r="X18"/>
  <c r="X14"/>
  <c r="X10"/>
  <c r="X31"/>
  <c r="X30"/>
  <c r="X26"/>
  <c r="X27"/>
  <c r="X17"/>
  <c r="X9"/>
  <c r="X20"/>
  <c r="X12"/>
  <c r="Y18"/>
  <c r="Y21"/>
  <c r="Y13"/>
  <c r="Y32"/>
  <c r="Y29"/>
  <c r="Y25"/>
  <c r="Y26"/>
  <c r="Y20"/>
  <c r="Y16"/>
  <c r="Y12"/>
  <c r="Y28"/>
  <c r="Y23"/>
  <c r="Y19"/>
  <c r="Y15"/>
  <c r="Y11"/>
  <c r="Y33"/>
  <c r="Y31"/>
  <c r="Y27"/>
  <c r="Y30"/>
  <c r="Y22"/>
  <c r="Y14"/>
  <c r="Y10"/>
  <c r="Y24"/>
  <c r="Y17"/>
  <c r="Y9"/>
  <c r="AA6" i="10"/>
  <c r="Z31"/>
  <c r="Z27"/>
  <c r="Z23"/>
  <c r="Z19"/>
  <c r="Z15"/>
  <c r="Z11"/>
  <c r="Z30"/>
  <c r="Z26"/>
  <c r="Z22"/>
  <c r="Z18"/>
  <c r="Z14"/>
  <c r="Z10"/>
  <c r="Z12" i="13"/>
  <c r="Z16"/>
  <c r="Z20"/>
  <c r="Z27"/>
  <c r="Z11"/>
  <c r="Z15"/>
  <c r="Z19"/>
  <c r="Z23"/>
  <c r="Z29"/>
  <c r="Z26"/>
  <c r="Z30"/>
  <c r="Z33"/>
  <c r="Z31"/>
  <c r="AB6" i="10"/>
  <c r="W31"/>
  <c r="W26"/>
  <c r="W18"/>
  <c r="W10"/>
  <c r="W23"/>
  <c r="W15"/>
  <c r="W33"/>
  <c r="W32"/>
  <c r="W28"/>
  <c r="W24"/>
  <c r="W20"/>
  <c r="W16"/>
  <c r="W12"/>
  <c r="W29"/>
  <c r="W25"/>
  <c r="W21"/>
  <c r="W17"/>
  <c r="W13"/>
  <c r="W9"/>
  <c r="W30"/>
  <c r="W22"/>
  <c r="W14"/>
  <c r="W27"/>
  <c r="W19"/>
  <c r="W11"/>
  <c r="X18"/>
  <c r="X32"/>
  <c r="X33"/>
  <c r="X27"/>
  <c r="X23"/>
  <c r="X19"/>
  <c r="X15"/>
  <c r="X11"/>
  <c r="X31"/>
  <c r="X28"/>
  <c r="X24"/>
  <c r="X20"/>
  <c r="X16"/>
  <c r="X12"/>
  <c r="X29"/>
  <c r="X25"/>
  <c r="X21"/>
  <c r="X17"/>
  <c r="X13"/>
  <c r="X9"/>
  <c r="X30"/>
  <c r="X26"/>
  <c r="X22"/>
  <c r="X14"/>
  <c r="X10"/>
  <c r="Y17"/>
  <c r="Y31"/>
  <c r="Y30"/>
  <c r="Y26"/>
  <c r="Y22"/>
  <c r="Y18"/>
  <c r="Y14"/>
  <c r="Y10"/>
  <c r="Y27"/>
  <c r="Y23"/>
  <c r="Y19"/>
  <c r="Y15"/>
  <c r="Y11"/>
  <c r="Y33"/>
  <c r="Y32"/>
  <c r="Y28"/>
  <c r="Y24"/>
  <c r="Y20"/>
  <c r="Y16"/>
  <c r="Y12"/>
  <c r="Y29"/>
  <c r="Y25"/>
  <c r="Y21"/>
  <c r="Y13"/>
  <c r="Y9"/>
  <c r="AC6" i="13"/>
  <c r="Z12" i="10"/>
  <c r="Z16"/>
  <c r="Z20"/>
  <c r="Z24"/>
  <c r="Z28"/>
  <c r="Z9"/>
  <c r="Z13"/>
  <c r="Z17"/>
  <c r="Z21"/>
  <c r="Z25"/>
  <c r="Z29"/>
  <c r="Z33"/>
  <c r="Z32"/>
  <c r="AD6" i="13"/>
  <c r="AC33"/>
  <c r="AC32"/>
  <c r="AC10"/>
  <c r="AC11"/>
  <c r="AC12"/>
  <c r="AC13"/>
  <c r="AC14"/>
  <c r="AC15"/>
  <c r="AC16"/>
  <c r="AC17"/>
  <c r="AC18"/>
  <c r="AC19"/>
  <c r="AC20"/>
  <c r="AC21"/>
  <c r="AC22"/>
  <c r="AC23"/>
  <c r="AC24"/>
  <c r="AC25"/>
  <c r="AC26"/>
  <c r="AC27"/>
  <c r="AC28"/>
  <c r="AC29"/>
  <c r="AC30"/>
  <c r="AC31"/>
  <c r="AC9"/>
  <c r="AC6" i="10"/>
  <c r="AD6"/>
  <c r="AE6" i="13"/>
  <c r="AB11"/>
  <c r="AB17"/>
  <c r="AB21"/>
  <c r="AB27"/>
  <c r="AB31"/>
  <c r="AB33"/>
  <c r="AB10"/>
  <c r="AB12"/>
  <c r="AB14"/>
  <c r="AB16"/>
  <c r="AB18"/>
  <c r="AB20"/>
  <c r="AB22"/>
  <c r="AB24"/>
  <c r="AB26"/>
  <c r="AB28"/>
  <c r="AB30"/>
  <c r="AB32"/>
  <c r="AB13"/>
  <c r="AB15"/>
  <c r="AB19"/>
  <c r="AB23"/>
  <c r="AB25"/>
  <c r="AB29"/>
  <c r="AB9"/>
  <c r="AF6"/>
  <c r="AE11"/>
  <c r="AE12"/>
  <c r="AE13"/>
  <c r="AE14"/>
  <c r="AE15"/>
  <c r="AE16"/>
  <c r="AE17"/>
  <c r="AE18"/>
  <c r="AE19"/>
  <c r="AE20"/>
  <c r="AE21"/>
  <c r="AE22"/>
  <c r="AE23"/>
  <c r="AE24"/>
  <c r="AE25"/>
  <c r="AE26"/>
  <c r="AE27"/>
  <c r="AE28"/>
  <c r="AE29"/>
  <c r="AE30"/>
  <c r="AE31"/>
  <c r="AE32"/>
  <c r="AE33"/>
  <c r="AE10"/>
  <c r="AE9"/>
  <c r="AE6" i="10"/>
  <c r="AF6"/>
  <c r="AE32"/>
  <c r="AE33"/>
  <c r="AE31"/>
  <c r="AE29"/>
  <c r="AE27"/>
  <c r="AE25"/>
  <c r="AE23"/>
  <c r="AE21"/>
  <c r="AE19"/>
  <c r="AE17"/>
  <c r="AE15"/>
  <c r="AE13"/>
  <c r="AE11"/>
  <c r="AE9"/>
  <c r="AE30"/>
  <c r="AE28"/>
  <c r="AE26"/>
  <c r="AE24"/>
  <c r="AE22"/>
  <c r="AE20"/>
  <c r="AE18"/>
  <c r="AE16"/>
  <c r="AE14"/>
  <c r="AE12"/>
  <c r="AE10"/>
  <c r="AF9" i="13"/>
  <c r="AF10"/>
  <c r="AF11"/>
  <c r="AF12"/>
  <c r="AF13"/>
  <c r="AF14"/>
  <c r="AF15"/>
  <c r="AF16"/>
  <c r="AF17"/>
  <c r="AF18"/>
  <c r="AF19"/>
  <c r="AF20"/>
  <c r="AF21"/>
  <c r="AF22"/>
  <c r="AF23"/>
  <c r="AF24"/>
  <c r="AF25"/>
  <c r="AF26"/>
  <c r="AF27"/>
  <c r="AF28"/>
  <c r="AF29"/>
  <c r="AF30"/>
  <c r="AF31"/>
  <c r="AF32"/>
  <c r="AF33"/>
  <c r="AB31" i="10"/>
  <c r="AB28"/>
  <c r="AB20"/>
  <c r="AB12"/>
  <c r="AB25"/>
  <c r="AB17"/>
  <c r="AB9"/>
  <c r="AB33"/>
  <c r="AB30"/>
  <c r="AB26"/>
  <c r="AB22"/>
  <c r="AB18"/>
  <c r="AB14"/>
  <c r="AB10"/>
  <c r="AB27"/>
  <c r="AB23"/>
  <c r="AB19"/>
  <c r="AB15"/>
  <c r="AB11"/>
  <c r="AB32"/>
  <c r="AB24"/>
  <c r="AB16"/>
  <c r="AB29"/>
  <c r="AB21"/>
  <c r="AB13"/>
  <c r="AC29"/>
  <c r="AC9"/>
  <c r="AC26"/>
  <c r="AC18"/>
  <c r="AC10"/>
  <c r="AC33"/>
  <c r="AC27"/>
  <c r="AC23"/>
  <c r="AC19"/>
  <c r="AC15"/>
  <c r="AC11"/>
  <c r="AC31"/>
  <c r="AC28"/>
  <c r="AC24"/>
  <c r="AC20"/>
  <c r="AC16"/>
  <c r="AC12"/>
  <c r="AC32"/>
  <c r="AC25"/>
  <c r="AC21"/>
  <c r="AC17"/>
  <c r="AC13"/>
  <c r="AC30"/>
  <c r="AC22"/>
  <c r="AC14"/>
  <c r="AD31"/>
  <c r="AD24"/>
  <c r="AD12"/>
  <c r="AD25"/>
  <c r="AD17"/>
  <c r="AD9"/>
  <c r="AD33"/>
  <c r="AD30"/>
  <c r="AD26"/>
  <c r="AD22"/>
  <c r="AD18"/>
  <c r="AD14"/>
  <c r="AD10"/>
  <c r="AD27"/>
  <c r="AD23"/>
  <c r="AD19"/>
  <c r="AD15"/>
  <c r="AD11"/>
  <c r="AD32"/>
  <c r="AD28"/>
  <c r="AD20"/>
  <c r="AD16"/>
  <c r="AD29"/>
  <c r="AD21"/>
  <c r="AD13"/>
  <c r="K11" i="16"/>
  <c r="K12"/>
  <c r="K13"/>
  <c r="K14"/>
  <c r="K15"/>
  <c r="K16"/>
  <c r="K17"/>
  <c r="K18"/>
  <c r="K19"/>
  <c r="K20"/>
  <c r="K21"/>
  <c r="K22"/>
  <c r="K23"/>
  <c r="K24"/>
  <c r="K25"/>
  <c r="K26"/>
  <c r="K27"/>
  <c r="K28"/>
  <c r="C10"/>
  <c r="F10"/>
  <c r="F29" i="20"/>
  <c r="B28"/>
  <c r="J26"/>
  <c r="F25"/>
  <c r="B24"/>
  <c r="J22"/>
  <c r="P12" i="16"/>
  <c r="C11"/>
  <c r="F11"/>
  <c r="P13"/>
  <c r="C12"/>
  <c r="F12"/>
  <c r="P14"/>
  <c r="C13"/>
  <c r="F13"/>
  <c r="P15"/>
  <c r="C14"/>
  <c r="F14"/>
  <c r="P16"/>
  <c r="C15"/>
  <c r="F15"/>
  <c r="F30"/>
  <c r="P17"/>
  <c r="C16"/>
  <c r="F16"/>
  <c r="C17"/>
  <c r="F17"/>
  <c r="P18"/>
  <c r="P19"/>
  <c r="C18"/>
  <c r="F18"/>
  <c r="C19"/>
  <c r="F19"/>
  <c r="P20"/>
  <c r="P21"/>
  <c r="C20"/>
  <c r="F20"/>
  <c r="P22"/>
  <c r="C21"/>
  <c r="F21"/>
  <c r="P23"/>
  <c r="C22"/>
  <c r="F22"/>
  <c r="C23"/>
  <c r="F23"/>
  <c r="P24"/>
  <c r="P25"/>
  <c r="C24"/>
  <c r="F24"/>
  <c r="P26"/>
  <c r="C25"/>
  <c r="F25"/>
  <c r="P27"/>
  <c r="C26"/>
  <c r="F26"/>
  <c r="P28"/>
  <c r="C28"/>
  <c r="C27"/>
  <c r="F27"/>
  <c r="F28"/>
  <c r="F31"/>
  <c r="B9" i="21"/>
  <c r="D11" i="20"/>
  <c r="E84" s="1"/>
  <c r="F31"/>
  <c r="J29"/>
  <c r="B27"/>
  <c r="F24"/>
  <c r="F74" l="1"/>
  <c r="B18" i="21"/>
  <c r="B20" s="1"/>
  <c r="B19"/>
  <c r="B16"/>
  <c r="B17" s="1"/>
  <c r="B21" s="1"/>
  <c r="B25"/>
  <c r="J25" i="20"/>
  <c r="J30"/>
  <c r="B32"/>
  <c r="B71" s="1"/>
  <c r="J24"/>
  <c r="F27"/>
  <c r="B30"/>
  <c r="F52"/>
  <c r="B51"/>
  <c r="J49"/>
  <c r="F48"/>
  <c r="B47"/>
  <c r="J45"/>
  <c r="F44"/>
  <c r="B43"/>
  <c r="J41"/>
  <c r="F40"/>
  <c r="B39"/>
  <c r="J37"/>
  <c r="J70" s="1"/>
  <c r="J74" s="1"/>
  <c r="F36"/>
  <c r="B35"/>
  <c r="J33"/>
  <c r="F30"/>
  <c r="B25"/>
  <c r="B23"/>
  <c r="F28"/>
  <c r="F23"/>
  <c r="B26"/>
  <c r="J28"/>
  <c r="J51"/>
  <c r="F50"/>
  <c r="B49"/>
  <c r="J47"/>
  <c r="F46"/>
  <c r="B45"/>
  <c r="J43"/>
  <c r="F42"/>
  <c r="B41"/>
  <c r="J39"/>
  <c r="F38"/>
  <c r="B37"/>
  <c r="B70" s="1"/>
  <c r="J35"/>
  <c r="F34"/>
  <c r="B33"/>
  <c r="J31"/>
  <c r="J27"/>
  <c r="B22"/>
  <c r="E87"/>
  <c r="F84"/>
  <c r="F83"/>
  <c r="E85"/>
  <c r="E83"/>
  <c r="B74" l="1"/>
  <c r="E86" s="1"/>
  <c r="E91" s="1"/>
  <c r="D40" i="16" s="1"/>
  <c r="B22" i="21"/>
  <c r="B24" s="1"/>
  <c r="B26" s="1"/>
  <c r="D41" i="16" s="1"/>
  <c r="B23" i="21"/>
</calcChain>
</file>

<file path=xl/comments1.xml><?xml version="1.0" encoding="utf-8"?>
<comments xmlns="http://schemas.openxmlformats.org/spreadsheetml/2006/main">
  <authors>
    <author>WILLIAMS COMPANIES, INC.</author>
    <author>markhul</author>
  </authors>
  <commentList>
    <comment ref="K8" authorId="0">
      <text>
        <r>
          <rPr>
            <b/>
            <sz val="10"/>
            <color indexed="81"/>
            <rFont val="Tahoma"/>
            <family val="2"/>
          </rPr>
          <t>Molecular Weight from Periodic Table</t>
        </r>
      </text>
    </comment>
    <comment ref="P8" authorId="0">
      <text>
        <r>
          <rPr>
            <b/>
            <sz val="10"/>
            <color indexed="81"/>
            <rFont val="Tahoma"/>
            <family val="2"/>
          </rPr>
          <t>Molecular Weight from Periodic Table</t>
        </r>
      </text>
    </comment>
    <comment ref="U8" authorId="0">
      <text>
        <r>
          <rPr>
            <b/>
            <sz val="10"/>
            <color indexed="81"/>
            <rFont val="Tahoma"/>
            <family val="2"/>
          </rPr>
          <t>Molecular Weight from Periodic Table</t>
        </r>
      </text>
    </comment>
    <comment ref="Z8" authorId="0">
      <text>
        <r>
          <rPr>
            <b/>
            <sz val="10"/>
            <color indexed="81"/>
            <rFont val="Tahoma"/>
            <family val="2"/>
          </rPr>
          <t>Molecular Weight from Periodic Table</t>
        </r>
      </text>
    </comment>
    <comment ref="AE8" authorId="0">
      <text>
        <r>
          <rPr>
            <b/>
            <sz val="10"/>
            <color indexed="81"/>
            <rFont val="Tahoma"/>
            <family val="2"/>
          </rPr>
          <t>Molecular Weight from Periodic Table</t>
        </r>
      </text>
    </comment>
    <comment ref="AJ8" authorId="0">
      <text>
        <r>
          <rPr>
            <b/>
            <sz val="10"/>
            <color indexed="81"/>
            <rFont val="Tahoma"/>
            <family val="2"/>
          </rPr>
          <t>Molecular Weight from Periodic Table</t>
        </r>
      </text>
    </comment>
    <comment ref="AO8" authorId="0">
      <text>
        <r>
          <rPr>
            <b/>
            <sz val="10"/>
            <color indexed="81"/>
            <rFont val="Tahoma"/>
            <family val="2"/>
          </rPr>
          <t>Molecular Weight from Periodic Table</t>
        </r>
      </text>
    </comment>
    <comment ref="F30" authorId="1">
      <text>
        <r>
          <rPr>
            <b/>
            <sz val="10"/>
            <color indexed="81"/>
            <rFont val="Tahoma"/>
            <family val="2"/>
          </rPr>
          <t>This is total Molecular Weight or MW of the Gas Composition</t>
        </r>
      </text>
    </comment>
    <comment ref="D34" authorId="0">
      <text>
        <r>
          <rPr>
            <b/>
            <sz val="8"/>
            <color indexed="81"/>
            <rFont val="Tahoma"/>
            <family val="2"/>
          </rPr>
          <t>Albany 269 ft
Baker 3351 ft
Boise 3200 ft
Buhl 3345 ft
Burley 4269 ft
Caldwell 2497 ft
Chehalis 470 ft
Cisco 4400 ft
Eugene 655 ft
Goldendale 1712 ft
Green River 6224 ft
Kemmerer 6610 ft
La Plata B 6643 ft
Lava Hot Springs 4910 ft
Little Valley 2889 ft
McMinnville 185 ft
Meacham 3780 ft
Mesa 1050 ft
Moab 5873 ft
Mountain Home 3190 ft
Mount Vernon 150 ft
Muddy Creek 6855 ft
Oregon City 170 ft
Owyhee 5230 ft
Pegram 6070 ft
Pleasant View 7014 ft
Plymouth 304 ft
Pocatello 4655 ft
Rangely 5500 ft
Roosevelt 1220 ft
Snohomish 466 ft
Soda Springs 6135 ft
Sumas 35 ft
Sumner 456 ft
Tumwater 110 ft
Vernal 6008 ft
Washougal 530 ft
Willard 1280 ft
Winchester 600 ft
Zillah 1079 ft</t>
        </r>
        <r>
          <rPr>
            <b/>
            <sz val="9"/>
            <color indexed="81"/>
            <rFont val="Tahoma"/>
            <family val="2"/>
          </rPr>
          <t xml:space="preserve">
</t>
        </r>
      </text>
    </comment>
  </commentList>
</comments>
</file>

<file path=xl/comments2.xml><?xml version="1.0" encoding="utf-8"?>
<comments xmlns="http://schemas.openxmlformats.org/spreadsheetml/2006/main">
  <authors>
    <author>WILLIAMS COMPANIES, INC.</author>
  </authors>
  <commentList>
    <comment ref="B3" authorId="0">
      <text>
        <r>
          <rPr>
            <b/>
            <sz val="8"/>
            <color indexed="81"/>
            <rFont val="Tahoma"/>
            <family val="2"/>
          </rPr>
          <t>Albany 269 ft
Baker 3351 ft
Boise 3200 ft
Buhl 3345 ft
Burley 4269 ft
Caldwell 2497 ft
Chehalis 470 ft
Cisco 4400 ft
Eugene 655 ft
Goldendale 1712 ft
Green River 6224 ft
Kemmerer 6610 ft
La Plata B 6643 ft
Lava Hot Springs 4910 ft
Little Valley 2889 ft
McMinnville 185 ft
Meacham 3780 ft
Mesa 1050 ft
Moab 5873 ft
Mountain Home 3190 ft
Mount Vernon 150 ft
Muddy Creek 6855 ft
Oregon City 170 ft
Owyhee 5230 ft
Pegram 6070 ft
Pleasant View 7014 ft
Plymouth 304 ft
Pocatello 4655 ft
Rangely 5500 ft
Roosevelt 1220 ft
Snohomish 466 ft
Soda Springs 6135 ft
Sumas 35 ft
Sumner 456 ft
Tumwater 110 ft
Vernal 6008 ft
Washougal 530 ft
Willard 1280 ft
Winchester 600 ft
Zillah 1079 ft</t>
        </r>
        <r>
          <rPr>
            <b/>
            <sz val="9"/>
            <color indexed="81"/>
            <rFont val="Tahoma"/>
            <family val="2"/>
          </rPr>
          <t xml:space="preserve">
</t>
        </r>
      </text>
    </comment>
  </commentList>
</comments>
</file>

<file path=xl/sharedStrings.xml><?xml version="1.0" encoding="utf-8"?>
<sst xmlns="http://schemas.openxmlformats.org/spreadsheetml/2006/main" count="586" uniqueCount="240">
  <si>
    <t>Zact/Zbase</t>
  </si>
  <si>
    <t>P</t>
  </si>
  <si>
    <t>Pressure (psig)</t>
  </si>
  <si>
    <t>Zact</t>
  </si>
  <si>
    <t>Data computed from Equation for z Ratio originally found in the O&amp;M Manual</t>
  </si>
  <si>
    <t>Data collected from GPSA Chart for Compressibility for some temperatures, and interpolated for others</t>
  </si>
  <si>
    <t>y = -3E-06x3 + 0.0002x2 - 0.0063x + 1.0073</t>
  </si>
  <si>
    <t>y = -1E-06x3 + 5E-05x2 - 0.0067x + 1.0047</t>
  </si>
  <si>
    <t>y = 2E-06x3 - 6E-05x2 - 0.0068x + 1.0037</t>
  </si>
  <si>
    <t>y = 2E-06x3 - 6E-05x2 - 0.0081x + 1.0029</t>
  </si>
  <si>
    <t>y = 3E-06x3 - 0.0001x2 - 0.0088x + 1.0033</t>
  </si>
  <si>
    <t>y = 1E-06x3 - 7E-05x2 - 0.0124x + 1.0071</t>
  </si>
  <si>
    <t>Temperatures</t>
  </si>
  <si>
    <t>y = -2E-06x3 + 0.0001x2 - 0.0065x + 1.006</t>
  </si>
  <si>
    <t xml:space="preserve">T = </t>
  </si>
  <si>
    <t>y = -3E-06x3 + 0.0001x2 - 0.0064x + 1.0071</t>
  </si>
  <si>
    <t>y = -3E-06x3 + 0.0001x2 - 0.0064x + 1.0068</t>
  </si>
  <si>
    <t>y = -3E-06x3 + 0.0001x2 - 0.0064x + 1.0065</t>
  </si>
  <si>
    <t>y = -3E-06x3 + 0.0001x2 - 0.0065x + 1.0063</t>
  </si>
  <si>
    <t>y = -2E-06x3 + 9E-05x2 - 0.0065x + 1.0058</t>
  </si>
  <si>
    <t>y = -2E-06x3 + 8E-05x2 - 0.0066x + 1.0055</t>
  </si>
  <si>
    <t>y = -2E-06x3 + 7E-05x2 - 0.0066x + 1.0052</t>
  </si>
  <si>
    <t>y = -1E-06x3 + 6E-05x2 - 0.0067x + 1.005</t>
  </si>
  <si>
    <t>y = -5E-07x3 + 2E-05x2 - 0.0067x + 1.0045</t>
  </si>
  <si>
    <t>y = -2E-08x3 + 3E-06x2 - 0.0067x + 1.0043</t>
  </si>
  <si>
    <t>y = 5E-07x3 - 2E-05x2 - 0.0067x + 1.0041</t>
  </si>
  <si>
    <t>y = 1E-06x3 - 4E-05x2 - 0.0067x + 1.0039</t>
  </si>
  <si>
    <t>y = 2E-06x3 - 6E-05x2 - 0.007x + 1.0036</t>
  </si>
  <si>
    <t>y = 2E-06x3 - 6E-05x2 - 0.0073x + 1.0034</t>
  </si>
  <si>
    <t>y = 2E-06x3 - 6E-05x2 - 0.0076x + 1.0032</t>
  </si>
  <si>
    <t>y = 2E-06x3 - 6E-05x2 - 0.0079x + 1.003</t>
  </si>
  <si>
    <t>y = 2E-06x3 - 8E-05x2 - 0.0083x + 1.003</t>
  </si>
  <si>
    <t>y = 2E-06x3 - 9E-05x2 - 0.0084x + 1.0031</t>
  </si>
  <si>
    <t>y = 3E-06x3 - 0.0001x2 - 0.0085x + 1.0031</t>
  </si>
  <si>
    <t>y = 3E-06x3 - 0.0001x2 - 0.0087x + 1.0032</t>
  </si>
  <si>
    <t>y = 3E-06x3 - 0.0001x2 - 0.0095x + 1.0041</t>
  </si>
  <si>
    <t>y = 3E-06x3 - 0.0001x2 - 0.0102x + 1.0048</t>
  </si>
  <si>
    <t>y = 2E-06x3 - 1E-04x2 - 0.011x + 1.0056</t>
  </si>
  <si>
    <t>y = 2E-06x3 - 8E-05x2 - 0.0117x + 1.0063</t>
  </si>
  <si>
    <t>Data for Natural gas with a MW = 17.40 (Specific Gravity = 0.6)</t>
  </si>
  <si>
    <t>y = 2E-06x3 - 6E-05x2 - 0.0026x + 1.0027</t>
  </si>
  <si>
    <t>y = 1E-06x3 - 4E-05x2 - 0.0037x + 1.0035</t>
  </si>
  <si>
    <t>y = 8E-07x3 - 9E-06x2 - 0.0049x + 1.0043</t>
  </si>
  <si>
    <t>y = 1E-06x3 - 1E-05x2 - 0.0059x + 1.005</t>
  </si>
  <si>
    <t>y = 2E-06x3 - 6E-05x2 - 0.0068x + 1.0071</t>
  </si>
  <si>
    <t>y = 3E-06x3 - 1E-04x2 - 0.0075x + 1.008</t>
  </si>
  <si>
    <t>y = 2E-07x3 + 3E-05x2 - 0.0108x + 1.0135</t>
  </si>
  <si>
    <t>y = 8E-07x3 + 6E-06x2 - 0.0102x + 1.0124</t>
  </si>
  <si>
    <t>y = 1E-06x3 - 2E-05x2 - 0.0095x + 1.0113</t>
  </si>
  <si>
    <t>y = 2E-06x3 - 5E-05x2 - 0.0088x + 1.0102</t>
  </si>
  <si>
    <t>y = 3E-06x3 - 7E-05x2 - 0.0082x + 1.0091</t>
  </si>
  <si>
    <t>y = 3E-06x3 - 9E-05x2 - 0.0073x + 1.0078</t>
  </si>
  <si>
    <t>y = 3E-06x3 - 8E-05x2 - 0.0072x + 1.0076</t>
  </si>
  <si>
    <t>y = 3E-06x3 - 6E-05x2 - 0.0069x + 1.0073</t>
  </si>
  <si>
    <t>y = 3E-06x3 - 7E-05x2 - 0.0071x + 1.0074</t>
  </si>
  <si>
    <t>y = 2E-06x3 - 5E-05x2 - 0.0066x + 1.0066</t>
  </si>
  <si>
    <t>y = 2E-06x3 - 4E-05x2 - 0.0064x + 1.0062</t>
  </si>
  <si>
    <t>y = 2E-06x3 - 3E-05x2 - 0.0062x + 1.0058</t>
  </si>
  <si>
    <t>y = 1E-06x3 - 2E-05x2 - 0.006x + 1.0054</t>
  </si>
  <si>
    <t>y = 1E-06x3 - 1E-05x2 - 0.0057x + 1.0049</t>
  </si>
  <si>
    <t>y = 1E-06x3 - 1E-05x2 - 0.0055x + 1.0047</t>
  </si>
  <si>
    <t>y = 9E-07x3 - 1E-05x2 - 0.0053x + 1.0046</t>
  </si>
  <si>
    <t>y = 9E-07x3 - 9E-06x2 - 0.0051x + 1.0045</t>
  </si>
  <si>
    <t>y = 9E-07x3 - 1E-05x2 - 0.0046x + 1.0042</t>
  </si>
  <si>
    <t>y = 1E-06x3 - 2E-05x2 - 0.0044x + 1.004</t>
  </si>
  <si>
    <t>y = 1E-06x3 - 2E-05x2 - 0.0042x + 1.0039</t>
  </si>
  <si>
    <t>y = 1E-06x3 - 3E-05x2 - 0.004x + 1.0037</t>
  </si>
  <si>
    <t>y = 2E-06x3 - 4E-05x2 - 0.0035x + 1.0034</t>
  </si>
  <si>
    <t>y = 2E-06x3 - 5E-05x2 - 0.0033x + 1.0032</t>
  </si>
  <si>
    <t>y = 2E-06x3 - 5E-05x2 - 0.0031x + 1.003</t>
  </si>
  <si>
    <t>y = 2E-06x3 - 6E-05x2 - 0.0028x + 1.0029</t>
  </si>
  <si>
    <t>Data for Natural gas with a MW = 18.85 (Specific Gravity = 0.65)</t>
  </si>
  <si>
    <t>Data for Natural gas with a MW = 15.95 (Specific Gravity = 0.55)</t>
  </si>
  <si>
    <t>y = -2E-06x3 + 0.0001x2 - 0.0069x + 1.0058</t>
  </si>
  <si>
    <t>y = -1E-06x3 + 9E-05x2 - 0.0078x + 1.005</t>
  </si>
  <si>
    <t>y = -1E-06x3 + 7E-05x2 - 0.0086x + 1.0043</t>
  </si>
  <si>
    <t>y = 6E-07x3 - 1E-05x2 - 0.0091x + 1.0051</t>
  </si>
  <si>
    <t>y = 2E-06x3 - 0.0001x2 - 0.0092x + 1.0045</t>
  </si>
  <si>
    <t>y = 3E-07x3 + 1E-05x2 - 0.0134x + 1.008</t>
  </si>
  <si>
    <t>y = -6E-06x3 + 0.0002x2 - 0.0191x + 1.0089</t>
  </si>
  <si>
    <t>y = -5E-06x3 + 0.0001x2 - 0.018x + 1.0087</t>
  </si>
  <si>
    <t>y = -3E-06x3 + 0.0001x2 - 0.0168x + 1.0086</t>
  </si>
  <si>
    <t>y = -2E-06x3 + 8E-05x2 - 0.0157x + 1.0084</t>
  </si>
  <si>
    <t>y = -9E-07x3 + 4E-05x2 - 0.0145x + 1.0082</t>
  </si>
  <si>
    <t>y = 7E-07x3 - 1E-05x2 - 0.0125x + 1.0073</t>
  </si>
  <si>
    <t>y = 1E-06x3 - 3E-05x2 - 0.0117x + 1.0066</t>
  </si>
  <si>
    <t>y = 1E-06x3 - 6E-05x2 - 0.0109x + 1.0059</t>
  </si>
  <si>
    <t>y = 2E-06x3 - 8E-05x2 - 0.01x + 1.0052</t>
  </si>
  <si>
    <t>y = 2E-06x3 - 8E-05x2 - 0.0092x + 1.0046</t>
  </si>
  <si>
    <t>y = 2E-06x3 - 7E-05x2 - 0.0091x + 1.0047</t>
  </si>
  <si>
    <t>y = 9E-07x3 - 3E-05x2 - 0.0091x + 1.005</t>
  </si>
  <si>
    <t>y = 1E-06x3 - 5E-05x2 - 0.0091x + 1.0049</t>
  </si>
  <si>
    <t>y = 3E-07x3 + 2E-06x2 - 0.009x + 1.005</t>
  </si>
  <si>
    <t>y = -5E-09x3 + 2E-05x2 - 0.0089x + 1.0048</t>
  </si>
  <si>
    <t>y = -3E-07x3 + 3E-05x2 - 0.0088x + 1.0046</t>
  </si>
  <si>
    <t>y = -6E-07x3 + 5E-05x2 - 0.0087x + 1.0045</t>
  </si>
  <si>
    <t>y = -1E-06x3 + 7E-05x2 - 0.0084x + 1.0045</t>
  </si>
  <si>
    <t>y = -1E-06x3 + 8E-05x2 - 0.0081x + 1.0047</t>
  </si>
  <si>
    <t>y = -1E-06x3 + 8E-05x2 - 0.0083x + 1.0046</t>
  </si>
  <si>
    <t>y = -1E-06x3 + 9E-05x2 - 0.0079x + 1.0049</t>
  </si>
  <si>
    <t>y = -2E-06x3 + 9E-05x2 - 0.0076x + 1.0052</t>
  </si>
  <si>
    <t>y = -2E-06x3 + 1E-04x2 - 0.0074x + 1.0053</t>
  </si>
  <si>
    <t>y = -2E-06x3 + 0.0001x2 - 0.0073x + 1.0055</t>
  </si>
  <si>
    <t>y = -2E-06x3 + 0.0001x2 - 0.0071x + 1.0056</t>
  </si>
  <si>
    <t>Gas Composition</t>
  </si>
  <si>
    <t>Do you know the composition of the gas?</t>
  </si>
  <si>
    <t>Compound</t>
  </si>
  <si>
    <t>Molecular Weight</t>
  </si>
  <si>
    <t>Methane</t>
  </si>
  <si>
    <t>Ethane</t>
  </si>
  <si>
    <t>Propane</t>
  </si>
  <si>
    <t>N2</t>
  </si>
  <si>
    <t>CO2</t>
  </si>
  <si>
    <t>Calculate the compressibility of the gas based on the composition, temperature and pressure</t>
  </si>
  <si>
    <t>Make sure you filled out the information on the Gas Composition Tab</t>
  </si>
  <si>
    <t>What was known from the Gas Composition Sheet (MW or Sp Gr)?</t>
  </si>
  <si>
    <t>What was the known value?</t>
  </si>
  <si>
    <t>Note: This sheet is only valid for gas with a molecular weight of 15.95 to 18.85 (Specific Gravity of 0.55 to 0.65).  It uses data collected from the GPSA Manual on compressibility for three known molecular weights, and uses a linear interpolation to calculate the values between constant temperature lines and different molecular weights</t>
  </si>
  <si>
    <t>What is the pressure of the gas?</t>
  </si>
  <si>
    <t>psig</t>
  </si>
  <si>
    <t>MW = 15.95           Sp Gr = 0.55</t>
  </si>
  <si>
    <t>MW = 17.40           Sp Gr = 0.60</t>
  </si>
  <si>
    <t>MW = 18.85               Sp Gr = 0.65</t>
  </si>
  <si>
    <t xml:space="preserve">Z = </t>
  </si>
  <si>
    <t>At that pressure, here are the values of compressibility the different temperature readings for the three graphs</t>
  </si>
  <si>
    <t>What is the Temperature of the gas?</t>
  </si>
  <si>
    <t>At that pressure and temperature, here are the values of compressibility for the three graphs</t>
  </si>
  <si>
    <t>° F</t>
  </si>
  <si>
    <t>Interpolation Points:</t>
  </si>
  <si>
    <t>X1</t>
  </si>
  <si>
    <t>X2</t>
  </si>
  <si>
    <t>Y1</t>
  </si>
  <si>
    <t>Y3</t>
  </si>
  <si>
    <t>X3</t>
  </si>
  <si>
    <t>Finally, at the given temperature, pressure and gas composition, here is the interpolated compressibility</t>
  </si>
  <si>
    <t>Y2</t>
  </si>
  <si>
    <t>yes</t>
  </si>
  <si>
    <t>F</t>
  </si>
  <si>
    <t>C1H4</t>
  </si>
  <si>
    <t>C =</t>
  </si>
  <si>
    <t>H =</t>
  </si>
  <si>
    <t>O =</t>
  </si>
  <si>
    <t>S =</t>
  </si>
  <si>
    <t>N =</t>
  </si>
  <si>
    <t>He =</t>
  </si>
  <si>
    <t>Ar =</t>
  </si>
  <si>
    <t>C2H6</t>
  </si>
  <si>
    <t>C3H8</t>
  </si>
  <si>
    <t>IsoButane</t>
  </si>
  <si>
    <t>iC4H10</t>
  </si>
  <si>
    <t>n-Butane</t>
  </si>
  <si>
    <t>nC4H10</t>
  </si>
  <si>
    <t>IsoPentane</t>
  </si>
  <si>
    <t>iC5H12</t>
  </si>
  <si>
    <t>n-Pentane</t>
  </si>
  <si>
    <t>nC5H12</t>
  </si>
  <si>
    <t>n-Hexane</t>
  </si>
  <si>
    <t>C6H14</t>
  </si>
  <si>
    <t>n-Heptane</t>
  </si>
  <si>
    <t>C7H16</t>
  </si>
  <si>
    <t>n-Octane</t>
  </si>
  <si>
    <t>C8H18</t>
  </si>
  <si>
    <t>n-Nonane</t>
  </si>
  <si>
    <t>C9H20</t>
  </si>
  <si>
    <t>n-Decane</t>
  </si>
  <si>
    <t>C10H22</t>
  </si>
  <si>
    <t>Hydrogen</t>
  </si>
  <si>
    <t>H2</t>
  </si>
  <si>
    <t>Helium</t>
  </si>
  <si>
    <t>He</t>
  </si>
  <si>
    <t>Water</t>
  </si>
  <si>
    <t>H2O</t>
  </si>
  <si>
    <t>Carbon Monoxide</t>
  </si>
  <si>
    <t>CO</t>
  </si>
  <si>
    <t>Nitrogen</t>
  </si>
  <si>
    <t>Oxygen</t>
  </si>
  <si>
    <t>O2</t>
  </si>
  <si>
    <t>Hydrogen Sulfide</t>
  </si>
  <si>
    <t>H2S</t>
  </si>
  <si>
    <t>Argon</t>
  </si>
  <si>
    <t>Ar</t>
  </si>
  <si>
    <t>Carbon Dioxide</t>
  </si>
  <si>
    <t>lbm</t>
  </si>
  <si>
    <t>Total Fuel</t>
  </si>
  <si>
    <t>Moles</t>
  </si>
  <si>
    <r>
      <t xml:space="preserve">lbm ( </t>
    </r>
    <r>
      <rPr>
        <sz val="10"/>
        <color indexed="10"/>
        <rFont val="Arial"/>
        <family val="2"/>
      </rPr>
      <t>MW</t>
    </r>
    <r>
      <rPr>
        <sz val="10"/>
        <rFont val="Arial"/>
      </rPr>
      <t xml:space="preserve"> )</t>
    </r>
  </si>
  <si>
    <t>Symbol</t>
  </si>
  <si>
    <t>Mass</t>
  </si>
  <si>
    <t>% of Gas</t>
  </si>
  <si>
    <t>Compressibility of the Gas - Z</t>
  </si>
  <si>
    <t>% mole</t>
  </si>
  <si>
    <t>Formula</t>
  </si>
  <si>
    <t>X</t>
  </si>
  <si>
    <t>((226.29*T/(99.15+211.9*SG-CO-1.681*N)-460)+460)/500</t>
  </si>
  <si>
    <t>Z</t>
  </si>
  <si>
    <t>((156.47*(P-Patm))/(160.8-7.22*SG+CO-0.392*N)+14.7)/1000</t>
  </si>
  <si>
    <t>Y</t>
  </si>
  <si>
    <t>0.0330378/X^2-0.0221323/X^3+0.0161353/X^5</t>
  </si>
  <si>
    <t>D</t>
  </si>
  <si>
    <t>(0.265827/X^2+0.0457697/X^4-0.133185/X)/Y</t>
  </si>
  <si>
    <t>G</t>
  </si>
  <si>
    <t>1-0.00075*Z^2.3*(2-2.71828^(-20*(1.09-X)))</t>
  </si>
  <si>
    <t>H</t>
  </si>
  <si>
    <t>(1.317*(1.09-X)^4)*Z</t>
  </si>
  <si>
    <t>B</t>
  </si>
  <si>
    <t>G-(1.317*(1.09-X)^4*Z)*(1.69-Z^2)-H*(1.69-Z^2)</t>
  </si>
  <si>
    <t>A</t>
  </si>
  <si>
    <t>9*D-2*Y*D^3</t>
  </si>
  <si>
    <t>J</t>
  </si>
  <si>
    <t>A/(54*Y*Z^3)-B/(2*Y*Z^2)</t>
  </si>
  <si>
    <t>K</t>
  </si>
  <si>
    <t>(3-Y*D^2)/(9*Y*Z^2)</t>
  </si>
  <si>
    <t>(J+(J^2+K^3)^0.5)^(1/3)</t>
  </si>
  <si>
    <t>L</t>
  </si>
  <si>
    <t>(0.00132/X^3.25+1)^2</t>
  </si>
  <si>
    <t>L/(((3-Y*D^2)/(9*Y*Z^2))/F-F+D/(3*Z))</t>
  </si>
  <si>
    <t xml:space="preserve">Specific Gravity </t>
  </si>
  <si>
    <t xml:space="preserve">Mole % CO2 </t>
  </si>
  <si>
    <t xml:space="preserve">Mole % N2 </t>
  </si>
  <si>
    <t>%</t>
  </si>
  <si>
    <t>Pressure</t>
  </si>
  <si>
    <t>Elevation</t>
  </si>
  <si>
    <t>psia</t>
  </si>
  <si>
    <t>ft</t>
  </si>
  <si>
    <t>psi atm</t>
  </si>
  <si>
    <t>Temperature</t>
  </si>
  <si>
    <t>°F</t>
  </si>
  <si>
    <t>°R</t>
  </si>
  <si>
    <t xml:space="preserve">Atmospheric Pressure </t>
  </si>
  <si>
    <t>which is</t>
  </si>
  <si>
    <t>SG</t>
  </si>
  <si>
    <t>feet</t>
  </si>
  <si>
    <t>Atmospheric Pressure</t>
  </si>
  <si>
    <t>Interpolated From Chart Tables</t>
  </si>
  <si>
    <t>Calculated Value</t>
  </si>
  <si>
    <t>Enter either the Gas Composition or the Specific Gravity of the gas.</t>
  </si>
  <si>
    <t>If yes, enter the Gas Composition.</t>
  </si>
  <si>
    <t>If no, enter the Specific Gravity of the Gas.</t>
  </si>
  <si>
    <t>Z Calculation Found in PLC Code</t>
  </si>
  <si>
    <t>Password:  697</t>
  </si>
</sst>
</file>

<file path=xl/styles.xml><?xml version="1.0" encoding="utf-8"?>
<styleSheet xmlns="http://schemas.openxmlformats.org/spreadsheetml/2006/main">
  <numFmts count="5">
    <numFmt numFmtId="164" formatCode="0.000"/>
    <numFmt numFmtId="165" formatCode="0.0000"/>
    <numFmt numFmtId="166" formatCode="0.00000"/>
    <numFmt numFmtId="167" formatCode="0.000000"/>
    <numFmt numFmtId="168" formatCode="0.0"/>
  </numFmts>
  <fonts count="14">
    <font>
      <sz val="10"/>
      <name val="Arial"/>
    </font>
    <font>
      <sz val="8"/>
      <name val="Arial"/>
      <family val="2"/>
    </font>
    <font>
      <sz val="10"/>
      <name val="Arial"/>
      <family val="2"/>
    </font>
    <font>
      <b/>
      <sz val="12"/>
      <name val="Arial"/>
      <family val="2"/>
    </font>
    <font>
      <b/>
      <sz val="14"/>
      <name val="Arial"/>
      <family val="2"/>
    </font>
    <font>
      <b/>
      <sz val="10"/>
      <name val="Arial"/>
      <family val="2"/>
    </font>
    <font>
      <sz val="10"/>
      <color indexed="10"/>
      <name val="Arial"/>
      <family val="2"/>
    </font>
    <font>
      <b/>
      <sz val="11"/>
      <name val="Arial"/>
      <family val="2"/>
    </font>
    <font>
      <b/>
      <sz val="16"/>
      <name val="Arial"/>
      <family val="2"/>
    </font>
    <font>
      <b/>
      <sz val="10"/>
      <color indexed="81"/>
      <name val="Tahoma"/>
      <family val="2"/>
    </font>
    <font>
      <sz val="10"/>
      <color indexed="12"/>
      <name val="Arial"/>
      <family val="2"/>
    </font>
    <font>
      <b/>
      <sz val="9"/>
      <color indexed="81"/>
      <name val="Tahoma"/>
      <family val="2"/>
    </font>
    <font>
      <b/>
      <sz val="8"/>
      <color indexed="81"/>
      <name val="Tahoma"/>
      <family val="2"/>
    </font>
    <font>
      <sz val="12"/>
      <name val="Arial"/>
      <family val="2"/>
    </font>
  </fonts>
  <fills count="13">
    <fill>
      <patternFill patternType="none"/>
    </fill>
    <fill>
      <patternFill patternType="gray125"/>
    </fill>
    <fill>
      <patternFill patternType="solid">
        <fgColor indexed="13"/>
        <bgColor indexed="64"/>
      </patternFill>
    </fill>
    <fill>
      <patternFill patternType="solid">
        <fgColor indexed="15"/>
        <bgColor indexed="64"/>
      </patternFill>
    </fill>
    <fill>
      <patternFill patternType="solid">
        <fgColor indexed="42"/>
        <bgColor indexed="64"/>
      </patternFill>
    </fill>
    <fill>
      <patternFill patternType="solid">
        <fgColor indexed="43"/>
        <bgColor indexed="64"/>
      </patternFill>
    </fill>
    <fill>
      <patternFill patternType="solid">
        <fgColor indexed="9"/>
        <bgColor indexed="64"/>
      </patternFill>
    </fill>
    <fill>
      <patternFill patternType="solid">
        <fgColor indexed="41"/>
        <bgColor indexed="64"/>
      </patternFill>
    </fill>
    <fill>
      <patternFill patternType="solid">
        <fgColor indexed="22"/>
        <bgColor indexed="64"/>
      </patternFill>
    </fill>
    <fill>
      <patternFill patternType="solid">
        <fgColor indexed="11"/>
        <bgColor indexed="64"/>
      </patternFill>
    </fill>
    <fill>
      <patternFill patternType="solid">
        <fgColor indexed="47"/>
        <bgColor indexed="64"/>
      </patternFill>
    </fill>
    <fill>
      <patternFill patternType="solid">
        <fgColor rgb="FFFFFF00"/>
        <bgColor indexed="64"/>
      </patternFill>
    </fill>
    <fill>
      <patternFill patternType="solid">
        <fgColor rgb="FF00CC00"/>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right/>
      <top style="medium">
        <color indexed="64"/>
      </top>
      <bottom/>
      <diagonal/>
    </border>
    <border>
      <left style="thin">
        <color indexed="10"/>
      </left>
      <right style="thin">
        <color indexed="10"/>
      </right>
      <top style="thin">
        <color indexed="10"/>
      </top>
      <bottom style="thin">
        <color indexed="10"/>
      </bottom>
      <diagonal/>
    </border>
    <border>
      <left/>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diagonal/>
    </border>
    <border>
      <left style="thin">
        <color indexed="64"/>
      </left>
      <right style="thin">
        <color indexed="64"/>
      </right>
      <top style="thin">
        <color indexed="64"/>
      </top>
      <bottom/>
      <diagonal/>
    </border>
  </borders>
  <cellStyleXfs count="1">
    <xf numFmtId="0" fontId="0" fillId="0" borderId="0"/>
  </cellStyleXfs>
  <cellXfs count="170">
    <xf numFmtId="0" fontId="0" fillId="0" borderId="0" xfId="0"/>
    <xf numFmtId="0" fontId="0" fillId="2" borderId="1" xfId="0" applyFill="1" applyBorder="1"/>
    <xf numFmtId="0" fontId="0" fillId="0" borderId="1" xfId="0" applyBorder="1"/>
    <xf numFmtId="0" fontId="2" fillId="0" borderId="0" xfId="0" applyFont="1" applyBorder="1"/>
    <xf numFmtId="0" fontId="0" fillId="3" borderId="2" xfId="0" applyFill="1" applyBorder="1" applyAlignment="1"/>
    <xf numFmtId="0" fontId="0" fillId="3" borderId="1" xfId="0" applyFill="1" applyBorder="1"/>
    <xf numFmtId="0" fontId="0" fillId="0" borderId="0" xfId="0" applyFill="1" applyBorder="1"/>
    <xf numFmtId="0" fontId="0" fillId="3" borderId="3" xfId="0" applyFill="1" applyBorder="1"/>
    <xf numFmtId="0" fontId="0" fillId="3" borderId="4" xfId="0" applyFill="1" applyBorder="1"/>
    <xf numFmtId="0" fontId="0" fillId="4" borderId="1" xfId="0" applyFill="1" applyBorder="1"/>
    <xf numFmtId="0" fontId="0" fillId="4" borderId="5" xfId="0" applyFill="1" applyBorder="1" applyAlignment="1"/>
    <xf numFmtId="0" fontId="0" fillId="3" borderId="5" xfId="0" applyFill="1" applyBorder="1" applyAlignment="1"/>
    <xf numFmtId="0" fontId="0" fillId="5" borderId="1" xfId="0" applyFill="1" applyBorder="1"/>
    <xf numFmtId="0" fontId="2" fillId="0" borderId="0" xfId="0" applyFont="1" applyFill="1" applyBorder="1"/>
    <xf numFmtId="0" fontId="0" fillId="0" borderId="1" xfId="0" applyFill="1" applyBorder="1"/>
    <xf numFmtId="0" fontId="0" fillId="0" borderId="0" xfId="0" applyProtection="1">
      <protection locked="0"/>
    </xf>
    <xf numFmtId="0" fontId="6" fillId="6" borderId="1" xfId="0" applyFont="1" applyFill="1" applyBorder="1" applyAlignment="1" applyProtection="1">
      <alignment horizontal="center"/>
      <protection locked="0"/>
    </xf>
    <xf numFmtId="0" fontId="0" fillId="0" borderId="0" xfId="0" applyProtection="1"/>
    <xf numFmtId="0" fontId="0" fillId="0" borderId="0" xfId="0" applyFill="1" applyBorder="1" applyProtection="1"/>
    <xf numFmtId="0" fontId="2" fillId="0" borderId="0" xfId="0" applyFont="1" applyFill="1" applyBorder="1" applyProtection="1"/>
    <xf numFmtId="0" fontId="2" fillId="0" borderId="0" xfId="0" applyFont="1" applyBorder="1" applyProtection="1"/>
    <xf numFmtId="0" fontId="0" fillId="3" borderId="2" xfId="0" applyFill="1" applyBorder="1" applyAlignment="1" applyProtection="1"/>
    <xf numFmtId="0" fontId="0" fillId="4" borderId="5" xfId="0" applyFill="1" applyBorder="1" applyAlignment="1" applyProtection="1"/>
    <xf numFmtId="0" fontId="0" fillId="3" borderId="5" xfId="0" applyFill="1" applyBorder="1" applyAlignment="1" applyProtection="1"/>
    <xf numFmtId="0" fontId="0" fillId="2" borderId="1" xfId="0" applyFill="1" applyBorder="1" applyProtection="1"/>
    <xf numFmtId="0" fontId="0" fillId="3" borderId="3" xfId="0" applyFill="1" applyBorder="1" applyProtection="1"/>
    <xf numFmtId="0" fontId="0" fillId="4" borderId="1" xfId="0" applyFill="1" applyBorder="1" applyProtection="1"/>
    <xf numFmtId="0" fontId="0" fillId="3" borderId="4" xfId="0" applyFill="1" applyBorder="1" applyProtection="1"/>
    <xf numFmtId="0" fontId="0" fillId="3" borderId="1" xfId="0" applyFill="1" applyBorder="1" applyProtection="1"/>
    <xf numFmtId="0" fontId="0" fillId="5" borderId="1" xfId="0" applyFill="1" applyBorder="1" applyProtection="1"/>
    <xf numFmtId="0" fontId="0" fillId="0" borderId="1" xfId="0" applyBorder="1" applyProtection="1"/>
    <xf numFmtId="0" fontId="2" fillId="0" borderId="1" xfId="0" applyFont="1" applyBorder="1" applyProtection="1"/>
    <xf numFmtId="0" fontId="2" fillId="0" borderId="0" xfId="0" applyFont="1" applyProtection="1"/>
    <xf numFmtId="0" fontId="0" fillId="0" borderId="0" xfId="0" applyBorder="1" applyProtection="1"/>
    <xf numFmtId="0" fontId="5" fillId="4" borderId="6" xfId="0" applyFont="1" applyFill="1" applyBorder="1" applyProtection="1"/>
    <xf numFmtId="0" fontId="0" fillId="4" borderId="7" xfId="0" applyFill="1" applyBorder="1" applyProtection="1"/>
    <xf numFmtId="0" fontId="0" fillId="4" borderId="8" xfId="0" applyFill="1" applyBorder="1" applyProtection="1"/>
    <xf numFmtId="0" fontId="0" fillId="7" borderId="9" xfId="0" applyFill="1" applyBorder="1" applyProtection="1"/>
    <xf numFmtId="0" fontId="5" fillId="8" borderId="1" xfId="0" applyFont="1" applyFill="1" applyBorder="1" applyProtection="1"/>
    <xf numFmtId="165" fontId="5" fillId="8" borderId="1" xfId="0" applyNumberFormat="1" applyFont="1" applyFill="1" applyBorder="1"/>
    <xf numFmtId="165" fontId="5" fillId="8" borderId="1" xfId="0" applyNumberFormat="1" applyFont="1" applyFill="1" applyBorder="1" applyProtection="1"/>
    <xf numFmtId="0" fontId="5" fillId="7" borderId="9" xfId="0" applyFont="1" applyFill="1" applyBorder="1" applyProtection="1"/>
    <xf numFmtId="0" fontId="0" fillId="8" borderId="1" xfId="0" applyFill="1" applyBorder="1" applyProtection="1"/>
    <xf numFmtId="0" fontId="2" fillId="8" borderId="1" xfId="0" applyFont="1" applyFill="1" applyBorder="1" applyProtection="1"/>
    <xf numFmtId="0" fontId="4" fillId="8" borderId="9" xfId="0" applyFont="1" applyFill="1" applyBorder="1" applyProtection="1"/>
    <xf numFmtId="0" fontId="5" fillId="0" borderId="0" xfId="0" applyFont="1" applyBorder="1" applyAlignment="1" applyProtection="1"/>
    <xf numFmtId="0" fontId="5" fillId="0" borderId="9" xfId="0" applyFont="1" applyBorder="1" applyProtection="1">
      <protection locked="0"/>
    </xf>
    <xf numFmtId="0" fontId="0" fillId="0" borderId="0" xfId="0" applyAlignment="1" applyProtection="1">
      <alignment horizontal="center"/>
    </xf>
    <xf numFmtId="166" fontId="0" fillId="2" borderId="0" xfId="0" applyNumberFormat="1" applyFill="1" applyProtection="1">
      <protection locked="0"/>
    </xf>
    <xf numFmtId="0" fontId="5" fillId="0" borderId="9" xfId="0" applyFont="1" applyFill="1" applyBorder="1" applyProtection="1"/>
    <xf numFmtId="0" fontId="7" fillId="7" borderId="6" xfId="0" applyFont="1" applyFill="1" applyBorder="1" applyAlignment="1" applyProtection="1"/>
    <xf numFmtId="0" fontId="7" fillId="7" borderId="7" xfId="0" applyFont="1" applyFill="1" applyBorder="1" applyAlignment="1" applyProtection="1"/>
    <xf numFmtId="0" fontId="5" fillId="0" borderId="10" xfId="0" applyFont="1" applyFill="1" applyBorder="1" applyProtection="1"/>
    <xf numFmtId="0" fontId="0" fillId="11" borderId="9" xfId="0" applyFill="1" applyBorder="1" applyAlignment="1" applyProtection="1">
      <alignment horizontal="right"/>
      <protection locked="0"/>
    </xf>
    <xf numFmtId="0" fontId="0" fillId="0" borderId="0" xfId="0" applyFill="1" applyProtection="1">
      <protection locked="0"/>
    </xf>
    <xf numFmtId="0" fontId="0" fillId="0" borderId="0" xfId="0" applyAlignment="1" applyProtection="1">
      <alignment horizontal="left"/>
      <protection locked="0"/>
    </xf>
    <xf numFmtId="0" fontId="3" fillId="11" borderId="9" xfId="0" applyFont="1" applyFill="1" applyBorder="1" applyProtection="1">
      <protection locked="0"/>
    </xf>
    <xf numFmtId="0" fontId="2" fillId="0" borderId="0" xfId="0" applyFont="1"/>
    <xf numFmtId="0" fontId="10" fillId="0" borderId="0" xfId="0" applyFont="1"/>
    <xf numFmtId="0" fontId="0" fillId="0" borderId="0" xfId="0" applyFill="1"/>
    <xf numFmtId="164" fontId="0" fillId="0" borderId="0" xfId="0" applyNumberFormat="1" applyFill="1"/>
    <xf numFmtId="0" fontId="2" fillId="0" borderId="0" xfId="0" applyFont="1" applyAlignment="1">
      <alignment horizontal="right"/>
    </xf>
    <xf numFmtId="0" fontId="5" fillId="2" borderId="0" xfId="0" applyFont="1" applyFill="1" applyProtection="1">
      <protection locked="0"/>
    </xf>
    <xf numFmtId="165" fontId="5" fillId="12" borderId="0" xfId="0" applyNumberFormat="1" applyFont="1" applyFill="1" applyProtection="1"/>
    <xf numFmtId="0" fontId="2" fillId="7" borderId="9" xfId="0" applyFont="1" applyFill="1" applyBorder="1" applyProtection="1"/>
    <xf numFmtId="165" fontId="0" fillId="0" borderId="0" xfId="0" applyNumberFormat="1" applyFill="1"/>
    <xf numFmtId="0" fontId="5" fillId="0" borderId="0" xfId="0" applyFont="1"/>
    <xf numFmtId="164" fontId="13" fillId="0" borderId="9" xfId="0" applyNumberFormat="1" applyFont="1" applyFill="1" applyBorder="1" applyProtection="1"/>
    <xf numFmtId="168" fontId="13" fillId="0" borderId="9" xfId="0" applyNumberFormat="1" applyFont="1" applyFill="1" applyBorder="1" applyProtection="1"/>
    <xf numFmtId="164" fontId="5" fillId="11" borderId="0" xfId="0" applyNumberFormat="1" applyFont="1" applyFill="1" applyProtection="1">
      <protection locked="0"/>
    </xf>
    <xf numFmtId="168" fontId="3" fillId="2" borderId="9" xfId="0" applyNumberFormat="1" applyFont="1" applyFill="1" applyBorder="1" applyProtection="1">
      <protection locked="0"/>
    </xf>
    <xf numFmtId="0" fontId="4" fillId="0" borderId="0" xfId="0" applyFont="1" applyAlignment="1" applyProtection="1"/>
    <xf numFmtId="0" fontId="0" fillId="0" borderId="0" xfId="0" applyAlignment="1" applyProtection="1">
      <alignment horizontal="left"/>
    </xf>
    <xf numFmtId="0" fontId="3" fillId="0" borderId="0" xfId="0" applyFont="1" applyFill="1" applyBorder="1" applyAlignment="1" applyProtection="1">
      <alignment horizontal="left"/>
    </xf>
    <xf numFmtId="0" fontId="3" fillId="0" borderId="0" xfId="0" applyFont="1" applyFill="1" applyBorder="1" applyAlignment="1" applyProtection="1">
      <alignment wrapText="1"/>
    </xf>
    <xf numFmtId="0" fontId="3" fillId="0" borderId="0" xfId="0" applyFont="1" applyFill="1" applyBorder="1" applyAlignment="1" applyProtection="1">
      <alignment horizontal="center"/>
    </xf>
    <xf numFmtId="0" fontId="6" fillId="0" borderId="0" xfId="0" applyFont="1" applyFill="1" applyBorder="1" applyAlignment="1" applyProtection="1">
      <alignment horizontal="center"/>
    </xf>
    <xf numFmtId="0" fontId="0" fillId="0" borderId="0" xfId="0" applyFill="1" applyProtection="1"/>
    <xf numFmtId="0" fontId="5" fillId="0" borderId="11" xfId="0" applyFont="1" applyFill="1" applyBorder="1" applyAlignment="1" applyProtection="1">
      <alignment horizontal="center"/>
    </xf>
    <xf numFmtId="0" fontId="5" fillId="0" borderId="0" xfId="0" applyFont="1" applyBorder="1" applyAlignment="1" applyProtection="1">
      <alignment horizontal="center"/>
    </xf>
    <xf numFmtId="166" fontId="0" fillId="0" borderId="0" xfId="0" applyNumberFormat="1" applyProtection="1"/>
    <xf numFmtId="0" fontId="2" fillId="0" borderId="0" xfId="0" applyFont="1" applyAlignment="1" applyProtection="1">
      <alignment horizontal="left"/>
    </xf>
    <xf numFmtId="0" fontId="0" fillId="0" borderId="0" xfId="0" applyAlignment="1" applyProtection="1">
      <alignment horizontal="right"/>
    </xf>
    <xf numFmtId="166" fontId="0" fillId="0" borderId="12" xfId="0" applyNumberFormat="1" applyBorder="1" applyProtection="1"/>
    <xf numFmtId="166" fontId="5" fillId="12" borderId="12" xfId="0" applyNumberFormat="1" applyFont="1" applyFill="1" applyBorder="1" applyProtection="1"/>
    <xf numFmtId="167" fontId="0" fillId="0" borderId="0" xfId="0" applyNumberFormat="1" applyProtection="1"/>
    <xf numFmtId="0" fontId="5" fillId="12" borderId="6" xfId="0" applyFont="1" applyFill="1" applyBorder="1" applyAlignment="1" applyProtection="1"/>
    <xf numFmtId="0" fontId="5" fillId="12" borderId="7" xfId="0" applyFont="1" applyFill="1" applyBorder="1" applyAlignment="1" applyProtection="1"/>
    <xf numFmtId="0" fontId="5" fillId="0" borderId="6" xfId="0" applyFont="1" applyFill="1" applyBorder="1" applyAlignment="1" applyProtection="1"/>
    <xf numFmtId="0" fontId="5" fillId="0" borderId="7" xfId="0" applyFont="1" applyFill="1" applyBorder="1" applyAlignment="1" applyProtection="1"/>
    <xf numFmtId="0" fontId="0" fillId="0" borderId="7" xfId="0" applyFill="1" applyBorder="1" applyAlignment="1" applyProtection="1">
      <alignment horizontal="right"/>
      <protection locked="0"/>
    </xf>
    <xf numFmtId="0" fontId="3" fillId="7" borderId="9" xfId="0" applyFont="1" applyFill="1" applyBorder="1" applyAlignment="1" applyProtection="1"/>
    <xf numFmtId="167" fontId="8" fillId="12" borderId="9" xfId="0" applyNumberFormat="1" applyFont="1" applyFill="1" applyBorder="1" applyProtection="1"/>
    <xf numFmtId="167" fontId="3" fillId="12" borderId="9" xfId="0" applyNumberFormat="1" applyFont="1" applyFill="1" applyBorder="1"/>
    <xf numFmtId="167" fontId="8" fillId="12" borderId="9" xfId="0" applyNumberFormat="1" applyFont="1" applyFill="1" applyBorder="1" applyProtection="1">
      <protection locked="0"/>
    </xf>
    <xf numFmtId="0" fontId="5" fillId="9" borderId="6" xfId="0" applyFont="1" applyFill="1" applyBorder="1" applyAlignment="1" applyProtection="1">
      <alignment horizontal="center"/>
    </xf>
    <xf numFmtId="0" fontId="5" fillId="9" borderId="7" xfId="0" applyFont="1" applyFill="1" applyBorder="1" applyAlignment="1" applyProtection="1">
      <alignment horizontal="center"/>
    </xf>
    <xf numFmtId="0" fontId="5" fillId="9" borderId="8" xfId="0" applyFont="1" applyFill="1" applyBorder="1" applyAlignment="1" applyProtection="1">
      <alignment horizontal="center"/>
    </xf>
    <xf numFmtId="0" fontId="3" fillId="5" borderId="3" xfId="0" applyFont="1" applyFill="1" applyBorder="1" applyAlignment="1" applyProtection="1">
      <alignment horizontal="center"/>
    </xf>
    <xf numFmtId="0" fontId="3" fillId="5" borderId="13" xfId="0" applyFont="1" applyFill="1" applyBorder="1" applyAlignment="1" applyProtection="1">
      <alignment horizontal="center"/>
    </xf>
    <xf numFmtId="0" fontId="3" fillId="5" borderId="4" xfId="0" applyFont="1" applyFill="1" applyBorder="1" applyAlignment="1" applyProtection="1">
      <alignment horizontal="center"/>
    </xf>
    <xf numFmtId="0" fontId="3" fillId="5" borderId="14" xfId="0" applyFont="1" applyFill="1" applyBorder="1" applyAlignment="1" applyProtection="1">
      <alignment horizontal="center" wrapText="1"/>
    </xf>
    <xf numFmtId="0" fontId="3" fillId="5" borderId="11" xfId="0" applyFont="1" applyFill="1" applyBorder="1" applyAlignment="1" applyProtection="1">
      <alignment horizontal="center" wrapText="1"/>
    </xf>
    <xf numFmtId="0" fontId="3" fillId="5" borderId="15" xfId="0" applyFont="1" applyFill="1" applyBorder="1" applyAlignment="1" applyProtection="1">
      <alignment horizontal="center" wrapText="1"/>
    </xf>
    <xf numFmtId="0" fontId="3" fillId="5" borderId="16" xfId="0" applyFont="1" applyFill="1" applyBorder="1" applyAlignment="1" applyProtection="1">
      <alignment horizontal="center" wrapText="1"/>
    </xf>
    <xf numFmtId="0" fontId="3" fillId="5" borderId="17" xfId="0" applyFont="1" applyFill="1" applyBorder="1" applyAlignment="1" applyProtection="1">
      <alignment horizontal="center" wrapText="1"/>
    </xf>
    <xf numFmtId="0" fontId="3" fillId="5" borderId="18" xfId="0" applyFont="1" applyFill="1" applyBorder="1" applyAlignment="1" applyProtection="1">
      <alignment horizontal="center" wrapText="1"/>
    </xf>
    <xf numFmtId="0" fontId="5" fillId="10" borderId="14" xfId="0" applyFont="1" applyFill="1" applyBorder="1" applyAlignment="1" applyProtection="1">
      <alignment horizontal="center" wrapText="1"/>
    </xf>
    <xf numFmtId="0" fontId="5" fillId="10" borderId="11" xfId="0" applyFont="1" applyFill="1" applyBorder="1" applyAlignment="1" applyProtection="1">
      <alignment horizontal="center" wrapText="1"/>
    </xf>
    <xf numFmtId="0" fontId="5" fillId="10" borderId="15" xfId="0" applyFont="1" applyFill="1" applyBorder="1" applyAlignment="1" applyProtection="1">
      <alignment horizontal="center" wrapText="1"/>
    </xf>
    <xf numFmtId="0" fontId="5" fillId="10" borderId="10" xfId="0" applyFont="1" applyFill="1" applyBorder="1" applyAlignment="1" applyProtection="1">
      <alignment horizontal="center" wrapText="1"/>
    </xf>
    <xf numFmtId="0" fontId="5" fillId="10" borderId="0" xfId="0" applyFont="1" applyFill="1" applyBorder="1" applyAlignment="1" applyProtection="1">
      <alignment horizontal="center" wrapText="1"/>
    </xf>
    <xf numFmtId="0" fontId="5" fillId="10" borderId="19" xfId="0" applyFont="1" applyFill="1" applyBorder="1" applyAlignment="1" applyProtection="1">
      <alignment horizontal="center" wrapText="1"/>
    </xf>
    <xf numFmtId="0" fontId="5" fillId="10" borderId="16" xfId="0" applyFont="1" applyFill="1" applyBorder="1" applyAlignment="1" applyProtection="1">
      <alignment horizontal="center" wrapText="1"/>
    </xf>
    <xf numFmtId="0" fontId="5" fillId="10" borderId="17" xfId="0" applyFont="1" applyFill="1" applyBorder="1" applyAlignment="1" applyProtection="1">
      <alignment horizontal="center" wrapText="1"/>
    </xf>
    <xf numFmtId="0" fontId="5" fillId="10" borderId="18" xfId="0" applyFont="1" applyFill="1" applyBorder="1" applyAlignment="1" applyProtection="1">
      <alignment horizontal="center" wrapText="1"/>
    </xf>
    <xf numFmtId="0" fontId="5" fillId="2" borderId="6" xfId="0" applyFont="1" applyFill="1" applyBorder="1" applyAlignment="1" applyProtection="1">
      <alignment horizontal="center"/>
    </xf>
    <xf numFmtId="0" fontId="5" fillId="2" borderId="7" xfId="0" applyFont="1" applyFill="1" applyBorder="1" applyAlignment="1" applyProtection="1">
      <alignment horizontal="center"/>
    </xf>
    <xf numFmtId="0" fontId="5" fillId="2" borderId="8" xfId="0" applyFont="1" applyFill="1" applyBorder="1" applyAlignment="1" applyProtection="1">
      <alignment horizontal="center"/>
    </xf>
    <xf numFmtId="0" fontId="5" fillId="0" borderId="6" xfId="0" applyFont="1" applyFill="1" applyBorder="1" applyAlignment="1" applyProtection="1">
      <alignment horizontal="center"/>
      <protection locked="0"/>
    </xf>
    <xf numFmtId="0" fontId="5" fillId="0" borderId="8" xfId="0" applyFont="1" applyFill="1" applyBorder="1" applyAlignment="1" applyProtection="1">
      <alignment horizontal="center"/>
      <protection locked="0"/>
    </xf>
    <xf numFmtId="0" fontId="5" fillId="4" borderId="6" xfId="0" applyFont="1" applyFill="1" applyBorder="1" applyAlignment="1" applyProtection="1">
      <alignment horizontal="center"/>
    </xf>
    <xf numFmtId="0" fontId="5" fillId="4" borderId="7" xfId="0" applyFont="1" applyFill="1" applyBorder="1" applyAlignment="1" applyProtection="1">
      <alignment horizontal="center"/>
    </xf>
    <xf numFmtId="0" fontId="5" fillId="4" borderId="8" xfId="0" applyFont="1" applyFill="1" applyBorder="1" applyAlignment="1" applyProtection="1">
      <alignment horizontal="center"/>
    </xf>
    <xf numFmtId="0" fontId="7" fillId="7" borderId="6" xfId="0" applyFont="1" applyFill="1" applyBorder="1" applyAlignment="1" applyProtection="1">
      <alignment horizontal="center"/>
    </xf>
    <xf numFmtId="0" fontId="7" fillId="7" borderId="7" xfId="0" applyFont="1" applyFill="1" applyBorder="1" applyAlignment="1" applyProtection="1">
      <alignment horizontal="center"/>
    </xf>
    <xf numFmtId="0" fontId="7" fillId="7" borderId="8" xfId="0" applyFont="1" applyFill="1" applyBorder="1" applyAlignment="1" applyProtection="1">
      <alignment horizontal="center"/>
    </xf>
    <xf numFmtId="0" fontId="5" fillId="8" borderId="14" xfId="0" applyFont="1" applyFill="1" applyBorder="1" applyAlignment="1" applyProtection="1">
      <alignment horizontal="center" wrapText="1"/>
    </xf>
    <xf numFmtId="0" fontId="5" fillId="8" borderId="11" xfId="0" applyFont="1" applyFill="1" applyBorder="1" applyAlignment="1" applyProtection="1">
      <alignment horizontal="center" wrapText="1"/>
    </xf>
    <xf numFmtId="0" fontId="5" fillId="8" borderId="15" xfId="0" applyFont="1" applyFill="1" applyBorder="1" applyAlignment="1" applyProtection="1">
      <alignment horizontal="center" wrapText="1"/>
    </xf>
    <xf numFmtId="0" fontId="5" fillId="8" borderId="16" xfId="0" applyFont="1" applyFill="1" applyBorder="1" applyAlignment="1" applyProtection="1">
      <alignment horizontal="center" wrapText="1"/>
    </xf>
    <xf numFmtId="0" fontId="5" fillId="8" borderId="17" xfId="0" applyFont="1" applyFill="1" applyBorder="1" applyAlignment="1" applyProtection="1">
      <alignment horizontal="center" wrapText="1"/>
    </xf>
    <xf numFmtId="0" fontId="5" fillId="8" borderId="18" xfId="0" applyFont="1" applyFill="1" applyBorder="1" applyAlignment="1" applyProtection="1">
      <alignment horizontal="center" wrapText="1"/>
    </xf>
    <xf numFmtId="0" fontId="5" fillId="8" borderId="10" xfId="0" applyFont="1" applyFill="1" applyBorder="1" applyAlignment="1" applyProtection="1">
      <alignment horizontal="center" wrapText="1"/>
    </xf>
    <xf numFmtId="0" fontId="5" fillId="8" borderId="19" xfId="0" applyFont="1" applyFill="1" applyBorder="1" applyAlignment="1" applyProtection="1">
      <alignment horizontal="center" wrapText="1"/>
    </xf>
    <xf numFmtId="0" fontId="7" fillId="8" borderId="14" xfId="0" applyFont="1" applyFill="1" applyBorder="1" applyAlignment="1" applyProtection="1">
      <alignment horizontal="center" wrapText="1"/>
    </xf>
    <xf numFmtId="0" fontId="7" fillId="8" borderId="11" xfId="0" applyFont="1" applyFill="1" applyBorder="1" applyAlignment="1" applyProtection="1">
      <alignment horizontal="center" wrapText="1"/>
    </xf>
    <xf numFmtId="0" fontId="7" fillId="8" borderId="15" xfId="0" applyFont="1" applyFill="1" applyBorder="1" applyAlignment="1" applyProtection="1">
      <alignment horizontal="center" wrapText="1"/>
    </xf>
    <xf numFmtId="0" fontId="7" fillId="8" borderId="16" xfId="0" applyFont="1" applyFill="1" applyBorder="1" applyAlignment="1" applyProtection="1">
      <alignment horizontal="center" wrapText="1"/>
    </xf>
    <xf numFmtId="0" fontId="7" fillId="8" borderId="17" xfId="0" applyFont="1" applyFill="1" applyBorder="1" applyAlignment="1" applyProtection="1">
      <alignment horizontal="center" wrapText="1"/>
    </xf>
    <xf numFmtId="0" fontId="7" fillId="8" borderId="18" xfId="0" applyFont="1" applyFill="1" applyBorder="1" applyAlignment="1" applyProtection="1">
      <alignment horizontal="center" wrapText="1"/>
    </xf>
    <xf numFmtId="0" fontId="0" fillId="8" borderId="1" xfId="0" applyFill="1" applyBorder="1" applyAlignment="1" applyProtection="1">
      <alignment horizontal="center"/>
    </xf>
    <xf numFmtId="0" fontId="8" fillId="9" borderId="14" xfId="0" applyFont="1" applyFill="1" applyBorder="1" applyAlignment="1" applyProtection="1">
      <alignment horizontal="center"/>
    </xf>
    <xf numFmtId="0" fontId="8" fillId="9" borderId="11" xfId="0" applyFont="1" applyFill="1" applyBorder="1" applyAlignment="1" applyProtection="1">
      <alignment horizontal="center"/>
    </xf>
    <xf numFmtId="0" fontId="8" fillId="9" borderId="16" xfId="0" applyFont="1" applyFill="1" applyBorder="1" applyAlignment="1" applyProtection="1">
      <alignment horizontal="center"/>
    </xf>
    <xf numFmtId="0" fontId="8" fillId="9" borderId="17" xfId="0" applyFont="1" applyFill="1" applyBorder="1" applyAlignment="1" applyProtection="1">
      <alignment horizontal="center"/>
    </xf>
    <xf numFmtId="165" fontId="8" fillId="9" borderId="14" xfId="0" applyNumberFormat="1" applyFont="1" applyFill="1" applyBorder="1" applyAlignment="1" applyProtection="1">
      <alignment horizontal="center"/>
    </xf>
    <xf numFmtId="165" fontId="8" fillId="9" borderId="15" xfId="0" applyNumberFormat="1" applyFont="1" applyFill="1" applyBorder="1" applyAlignment="1" applyProtection="1">
      <alignment horizontal="center"/>
    </xf>
    <xf numFmtId="165" fontId="8" fillId="9" borderId="16" xfId="0" applyNumberFormat="1" applyFont="1" applyFill="1" applyBorder="1" applyAlignment="1" applyProtection="1">
      <alignment horizontal="center"/>
    </xf>
    <xf numFmtId="165" fontId="8" fillId="9" borderId="18" xfId="0" applyNumberFormat="1" applyFont="1" applyFill="1" applyBorder="1" applyAlignment="1" applyProtection="1">
      <alignment horizontal="center"/>
    </xf>
    <xf numFmtId="165" fontId="4" fillId="8" borderId="6" xfId="0" applyNumberFormat="1" applyFont="1" applyFill="1" applyBorder="1" applyAlignment="1" applyProtection="1">
      <alignment horizontal="center"/>
    </xf>
    <xf numFmtId="165" fontId="4" fillId="8" borderId="8" xfId="0" applyNumberFormat="1" applyFont="1" applyFill="1" applyBorder="1" applyAlignment="1" applyProtection="1">
      <alignment horizontal="center"/>
    </xf>
    <xf numFmtId="0" fontId="0" fillId="8" borderId="20" xfId="0" applyFill="1" applyBorder="1" applyAlignment="1" applyProtection="1">
      <alignment horizontal="center"/>
    </xf>
    <xf numFmtId="0" fontId="0" fillId="0" borderId="0" xfId="0" applyFill="1" applyBorder="1" applyAlignment="1" applyProtection="1">
      <alignment horizontal="center"/>
    </xf>
    <xf numFmtId="0" fontId="0" fillId="0" borderId="0" xfId="0" applyAlignment="1" applyProtection="1">
      <alignment horizontal="center" wrapText="1"/>
    </xf>
    <xf numFmtId="0" fontId="3" fillId="8" borderId="6" xfId="0" applyFont="1" applyFill="1" applyBorder="1" applyAlignment="1" applyProtection="1">
      <alignment horizontal="center"/>
    </xf>
    <xf numFmtId="0" fontId="3" fillId="8" borderId="7" xfId="0" applyFont="1" applyFill="1" applyBorder="1" applyAlignment="1" applyProtection="1">
      <alignment horizontal="center"/>
    </xf>
    <xf numFmtId="0" fontId="3" fillId="8" borderId="8" xfId="0" applyFont="1" applyFill="1" applyBorder="1" applyAlignment="1" applyProtection="1">
      <alignment horizontal="center"/>
    </xf>
    <xf numFmtId="0" fontId="4" fillId="8" borderId="7" xfId="0" applyFont="1" applyFill="1" applyBorder="1" applyAlignment="1" applyProtection="1">
      <alignment horizontal="center"/>
    </xf>
    <xf numFmtId="0" fontId="4" fillId="8" borderId="8" xfId="0" applyFont="1" applyFill="1" applyBorder="1" applyAlignment="1" applyProtection="1">
      <alignment horizontal="center"/>
    </xf>
    <xf numFmtId="0" fontId="5" fillId="0" borderId="0" xfId="0" applyFont="1" applyAlignment="1" applyProtection="1">
      <alignment horizontal="center"/>
    </xf>
    <xf numFmtId="0" fontId="0" fillId="0" borderId="0" xfId="0" applyAlignment="1" applyProtection="1">
      <alignment horizontal="center"/>
    </xf>
    <xf numFmtId="0" fontId="0" fillId="0" borderId="0" xfId="0" applyAlignment="1">
      <alignment horizontal="center" wrapText="1"/>
    </xf>
    <xf numFmtId="0" fontId="3" fillId="8" borderId="6" xfId="0" applyFont="1" applyFill="1" applyBorder="1" applyAlignment="1">
      <alignment horizontal="center"/>
    </xf>
    <xf numFmtId="0" fontId="3" fillId="8" borderId="7" xfId="0" applyFont="1" applyFill="1" applyBorder="1" applyAlignment="1">
      <alignment horizontal="center"/>
    </xf>
    <xf numFmtId="0" fontId="3" fillId="8" borderId="8" xfId="0" applyFont="1" applyFill="1" applyBorder="1" applyAlignment="1">
      <alignment horizontal="center"/>
    </xf>
    <xf numFmtId="0" fontId="4" fillId="8" borderId="7" xfId="0" applyFont="1" applyFill="1" applyBorder="1" applyAlignment="1">
      <alignment horizontal="center"/>
    </xf>
    <xf numFmtId="0" fontId="4" fillId="8" borderId="8" xfId="0" applyFont="1" applyFill="1" applyBorder="1" applyAlignment="1">
      <alignment horizontal="center"/>
    </xf>
    <xf numFmtId="0" fontId="5" fillId="0" borderId="0" xfId="0" applyFont="1" applyAlignment="1">
      <alignment horizontal="center"/>
    </xf>
    <xf numFmtId="0" fontId="0" fillId="0" borderId="0" xfId="0" applyAlignment="1">
      <alignment horizontal="center"/>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7.xml"/><Relationship Id="rId3" Type="http://schemas.openxmlformats.org/officeDocument/2006/relationships/worksheet" Target="worksheets/sheet3.xml"/><Relationship Id="rId7" Type="http://schemas.openxmlformats.org/officeDocument/2006/relationships/worksheet" Target="worksheets/sheet5.xml"/><Relationship Id="rId12" Type="http://schemas.openxmlformats.org/officeDocument/2006/relationships/chartsheet" Target="chartsheets/sheet6.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chartsheet" Target="chartsheets/sheet5.xml"/><Relationship Id="rId5" Type="http://schemas.openxmlformats.org/officeDocument/2006/relationships/chartsheet" Target="chartsheets/sheet1.xml"/><Relationship Id="rId15" Type="http://schemas.openxmlformats.org/officeDocument/2006/relationships/styles" Target="styles.xml"/><Relationship Id="rId10" Type="http://schemas.openxmlformats.org/officeDocument/2006/relationships/worksheet" Target="worksheets/sheet6.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en-US"/>
  <c:protection/>
  <c:chart>
    <c:title>
      <c:tx>
        <c:rich>
          <a:bodyPr/>
          <a:lstStyle/>
          <a:p>
            <a:pPr>
              <a:defRPr sz="1200" b="1" i="0" u="none" strike="noStrike" baseline="0">
                <a:solidFill>
                  <a:srgbClr val="000000"/>
                </a:solidFill>
                <a:latin typeface="Arial"/>
                <a:ea typeface="Arial"/>
                <a:cs typeface="Arial"/>
              </a:defRPr>
            </a:pPr>
            <a:r>
              <a:rPr lang="en-US"/>
              <a:t>Compressibility (Sp Gr = 0.55, MW = 15.95)</a:t>
            </a:r>
          </a:p>
        </c:rich>
      </c:tx>
      <c:layout>
        <c:manualLayout>
          <c:xMode val="edge"/>
          <c:yMode val="edge"/>
          <c:x val="0.32075471698113206"/>
          <c:y val="1.9575856443719414E-2"/>
        </c:manualLayout>
      </c:layout>
      <c:spPr>
        <a:noFill/>
        <a:ln w="25400">
          <a:noFill/>
        </a:ln>
      </c:spPr>
    </c:title>
    <c:plotArea>
      <c:layout>
        <c:manualLayout>
          <c:layoutTarget val="inner"/>
          <c:xMode val="edge"/>
          <c:yMode val="edge"/>
          <c:x val="7.8801331853496123E-2"/>
          <c:y val="0.12234910277324634"/>
          <c:w val="0.75249722530521657"/>
          <c:h val="0.771615008156607"/>
        </c:manualLayout>
      </c:layout>
      <c:lineChart>
        <c:grouping val="standard"/>
        <c:ser>
          <c:idx val="0"/>
          <c:order val="0"/>
          <c:tx>
            <c:v>T = 150 F</c:v>
          </c:tx>
          <c:spPr>
            <a:ln w="12700">
              <a:solidFill>
                <a:srgbClr val="000080"/>
              </a:solidFill>
              <a:prstDash val="solid"/>
            </a:ln>
          </c:spPr>
          <c:marker>
            <c:symbol val="diamond"/>
            <c:size val="5"/>
            <c:spPr>
              <a:solidFill>
                <a:srgbClr val="000080"/>
              </a:solidFill>
              <a:ln>
                <a:solidFill>
                  <a:srgbClr val="000080"/>
                </a:solidFill>
                <a:prstDash val="solid"/>
              </a:ln>
            </c:spPr>
          </c:marker>
          <c:trendline>
            <c:spPr>
              <a:ln w="25400">
                <a:solidFill>
                  <a:srgbClr val="000000"/>
                </a:solidFill>
                <a:prstDash val="solid"/>
              </a:ln>
            </c:spPr>
            <c:trendlineType val="poly"/>
            <c:order val="3"/>
          </c:trendline>
          <c:cat>
            <c:numRef>
              <c:f>'DATA - MW = 15.95 (Sp Gr= 0.55)'!$A$8:$A$33</c:f>
              <c:numCache>
                <c:formatCode>General</c:formatCode>
                <c:ptCount val="26"/>
                <c:pt idx="0">
                  <c:v>0</c:v>
                </c:pt>
                <c:pt idx="1">
                  <c:v>50</c:v>
                </c:pt>
                <c:pt idx="2">
                  <c:v>100</c:v>
                </c:pt>
                <c:pt idx="3">
                  <c:v>150</c:v>
                </c:pt>
                <c:pt idx="4">
                  <c:v>200</c:v>
                </c:pt>
                <c:pt idx="5">
                  <c:v>250</c:v>
                </c:pt>
                <c:pt idx="6">
                  <c:v>300</c:v>
                </c:pt>
                <c:pt idx="7">
                  <c:v>350</c:v>
                </c:pt>
                <c:pt idx="8">
                  <c:v>400</c:v>
                </c:pt>
                <c:pt idx="9">
                  <c:v>450</c:v>
                </c:pt>
                <c:pt idx="10">
                  <c:v>500</c:v>
                </c:pt>
                <c:pt idx="11">
                  <c:v>550</c:v>
                </c:pt>
                <c:pt idx="12">
                  <c:v>600</c:v>
                </c:pt>
                <c:pt idx="13">
                  <c:v>650</c:v>
                </c:pt>
                <c:pt idx="14">
                  <c:v>700</c:v>
                </c:pt>
                <c:pt idx="15">
                  <c:v>750</c:v>
                </c:pt>
                <c:pt idx="16">
                  <c:v>800</c:v>
                </c:pt>
                <c:pt idx="17">
                  <c:v>850</c:v>
                </c:pt>
                <c:pt idx="18">
                  <c:v>900</c:v>
                </c:pt>
                <c:pt idx="19">
                  <c:v>950</c:v>
                </c:pt>
                <c:pt idx="20">
                  <c:v>1000</c:v>
                </c:pt>
                <c:pt idx="21">
                  <c:v>1050</c:v>
                </c:pt>
                <c:pt idx="22">
                  <c:v>1100</c:v>
                </c:pt>
                <c:pt idx="23">
                  <c:v>1150</c:v>
                </c:pt>
                <c:pt idx="24">
                  <c:v>1200</c:v>
                </c:pt>
                <c:pt idx="25">
                  <c:v>1250</c:v>
                </c:pt>
              </c:numCache>
            </c:numRef>
          </c:cat>
          <c:val>
            <c:numRef>
              <c:f>'DATA - MW = 15.95 (Sp Gr= 0.55)'!$B$8:$B$33</c:f>
              <c:numCache>
                <c:formatCode>General</c:formatCode>
                <c:ptCount val="26"/>
                <c:pt idx="0">
                  <c:v>1</c:v>
                </c:pt>
                <c:pt idx="1">
                  <c:v>0.997</c:v>
                </c:pt>
                <c:pt idx="2">
                  <c:v>0.99399999999999999</c:v>
                </c:pt>
                <c:pt idx="3">
                  <c:v>0.99199999999999999</c:v>
                </c:pt>
                <c:pt idx="4">
                  <c:v>0.98899999999999999</c:v>
                </c:pt>
                <c:pt idx="5">
                  <c:v>0.98499999999999999</c:v>
                </c:pt>
                <c:pt idx="6">
                  <c:v>0.98099999999999998</c:v>
                </c:pt>
                <c:pt idx="7">
                  <c:v>0.97899999999999998</c:v>
                </c:pt>
                <c:pt idx="8">
                  <c:v>0.97599999999999998</c:v>
                </c:pt>
                <c:pt idx="9">
                  <c:v>0.97199999999999998</c:v>
                </c:pt>
                <c:pt idx="10">
                  <c:v>0.96899999999999997</c:v>
                </c:pt>
                <c:pt idx="11">
                  <c:v>0.96699999999999997</c:v>
                </c:pt>
                <c:pt idx="12">
                  <c:v>0.96299999999999997</c:v>
                </c:pt>
                <c:pt idx="13">
                  <c:v>0.96</c:v>
                </c:pt>
                <c:pt idx="14">
                  <c:v>0.95499999999999996</c:v>
                </c:pt>
                <c:pt idx="15">
                  <c:v>0.95199999999999996</c:v>
                </c:pt>
                <c:pt idx="16">
                  <c:v>0.95</c:v>
                </c:pt>
                <c:pt idx="17">
                  <c:v>0.94799999999999995</c:v>
                </c:pt>
                <c:pt idx="18">
                  <c:v>0.94399999999999995</c:v>
                </c:pt>
                <c:pt idx="19">
                  <c:v>0.94099999999999995</c:v>
                </c:pt>
                <c:pt idx="20">
                  <c:v>0.93899999999999995</c:v>
                </c:pt>
                <c:pt idx="21">
                  <c:v>0.93700000000000006</c:v>
                </c:pt>
                <c:pt idx="22">
                  <c:v>0.93500000000000005</c:v>
                </c:pt>
                <c:pt idx="23">
                  <c:v>0.93300000000000005</c:v>
                </c:pt>
                <c:pt idx="24">
                  <c:v>0.93</c:v>
                </c:pt>
                <c:pt idx="25">
                  <c:v>0.92700000000000005</c:v>
                </c:pt>
              </c:numCache>
            </c:numRef>
          </c:val>
        </c:ser>
        <c:ser>
          <c:idx val="1"/>
          <c:order val="1"/>
          <c:tx>
            <c:v>T = 100 F</c:v>
          </c:tx>
          <c:spPr>
            <a:ln w="12700">
              <a:solidFill>
                <a:srgbClr val="FF00FF"/>
              </a:solidFill>
              <a:prstDash val="solid"/>
            </a:ln>
          </c:spPr>
          <c:marker>
            <c:symbol val="square"/>
            <c:size val="5"/>
            <c:spPr>
              <a:solidFill>
                <a:srgbClr val="FF00FF"/>
              </a:solidFill>
              <a:ln>
                <a:solidFill>
                  <a:srgbClr val="FF00FF"/>
                </a:solidFill>
                <a:prstDash val="solid"/>
              </a:ln>
            </c:spPr>
          </c:marker>
          <c:trendline>
            <c:spPr>
              <a:ln w="25400">
                <a:solidFill>
                  <a:srgbClr val="000000"/>
                </a:solidFill>
                <a:prstDash val="solid"/>
              </a:ln>
            </c:spPr>
            <c:trendlineType val="poly"/>
            <c:order val="3"/>
          </c:trendline>
          <c:cat>
            <c:numRef>
              <c:f>'DATA - MW = 15.95 (Sp Gr= 0.55)'!$A$8:$A$33</c:f>
              <c:numCache>
                <c:formatCode>General</c:formatCode>
                <c:ptCount val="26"/>
                <c:pt idx="0">
                  <c:v>0</c:v>
                </c:pt>
                <c:pt idx="1">
                  <c:v>50</c:v>
                </c:pt>
                <c:pt idx="2">
                  <c:v>100</c:v>
                </c:pt>
                <c:pt idx="3">
                  <c:v>150</c:v>
                </c:pt>
                <c:pt idx="4">
                  <c:v>200</c:v>
                </c:pt>
                <c:pt idx="5">
                  <c:v>250</c:v>
                </c:pt>
                <c:pt idx="6">
                  <c:v>300</c:v>
                </c:pt>
                <c:pt idx="7">
                  <c:v>350</c:v>
                </c:pt>
                <c:pt idx="8">
                  <c:v>400</c:v>
                </c:pt>
                <c:pt idx="9">
                  <c:v>450</c:v>
                </c:pt>
                <c:pt idx="10">
                  <c:v>500</c:v>
                </c:pt>
                <c:pt idx="11">
                  <c:v>550</c:v>
                </c:pt>
                <c:pt idx="12">
                  <c:v>600</c:v>
                </c:pt>
                <c:pt idx="13">
                  <c:v>650</c:v>
                </c:pt>
                <c:pt idx="14">
                  <c:v>700</c:v>
                </c:pt>
                <c:pt idx="15">
                  <c:v>750</c:v>
                </c:pt>
                <c:pt idx="16">
                  <c:v>800</c:v>
                </c:pt>
                <c:pt idx="17">
                  <c:v>850</c:v>
                </c:pt>
                <c:pt idx="18">
                  <c:v>900</c:v>
                </c:pt>
                <c:pt idx="19">
                  <c:v>950</c:v>
                </c:pt>
                <c:pt idx="20">
                  <c:v>1000</c:v>
                </c:pt>
                <c:pt idx="21">
                  <c:v>1050</c:v>
                </c:pt>
                <c:pt idx="22">
                  <c:v>1100</c:v>
                </c:pt>
                <c:pt idx="23">
                  <c:v>1150</c:v>
                </c:pt>
                <c:pt idx="24">
                  <c:v>1200</c:v>
                </c:pt>
                <c:pt idx="25">
                  <c:v>1250</c:v>
                </c:pt>
              </c:numCache>
            </c:numRef>
          </c:cat>
          <c:val>
            <c:numRef>
              <c:f>'DATA - MW = 15.95 (Sp Gr= 0.55)'!$L$8:$L$33</c:f>
              <c:numCache>
                <c:formatCode>General</c:formatCode>
                <c:ptCount val="26"/>
                <c:pt idx="0">
                  <c:v>1</c:v>
                </c:pt>
                <c:pt idx="1">
                  <c:v>0.99399999999999999</c:v>
                </c:pt>
                <c:pt idx="2">
                  <c:v>0.99</c:v>
                </c:pt>
                <c:pt idx="3">
                  <c:v>0.98499999999999999</c:v>
                </c:pt>
                <c:pt idx="4">
                  <c:v>0.98</c:v>
                </c:pt>
                <c:pt idx="5">
                  <c:v>0.97499999999999998</c:v>
                </c:pt>
                <c:pt idx="6">
                  <c:v>0.97</c:v>
                </c:pt>
                <c:pt idx="7">
                  <c:v>0.96399999999999997</c:v>
                </c:pt>
                <c:pt idx="8">
                  <c:v>0.96</c:v>
                </c:pt>
                <c:pt idx="9">
                  <c:v>0.95499999999999996</c:v>
                </c:pt>
                <c:pt idx="10">
                  <c:v>0.95099999999999996</c:v>
                </c:pt>
                <c:pt idx="11">
                  <c:v>0.94599999999999995</c:v>
                </c:pt>
                <c:pt idx="12">
                  <c:v>0.94099999999999995</c:v>
                </c:pt>
                <c:pt idx="13">
                  <c:v>0.93700000000000006</c:v>
                </c:pt>
                <c:pt idx="14">
                  <c:v>0.93200000000000005</c:v>
                </c:pt>
                <c:pt idx="15">
                  <c:v>0.92800000000000005</c:v>
                </c:pt>
                <c:pt idx="16">
                  <c:v>0.92600000000000005</c:v>
                </c:pt>
                <c:pt idx="17">
                  <c:v>0.92</c:v>
                </c:pt>
                <c:pt idx="18">
                  <c:v>0.91400000000000003</c:v>
                </c:pt>
                <c:pt idx="19">
                  <c:v>0.90800000000000003</c:v>
                </c:pt>
                <c:pt idx="20">
                  <c:v>0.90400000000000003</c:v>
                </c:pt>
                <c:pt idx="21">
                  <c:v>0.9</c:v>
                </c:pt>
                <c:pt idx="22">
                  <c:v>0.89700000000000002</c:v>
                </c:pt>
                <c:pt idx="23">
                  <c:v>0.89300000000000002</c:v>
                </c:pt>
                <c:pt idx="24">
                  <c:v>0.89</c:v>
                </c:pt>
                <c:pt idx="25">
                  <c:v>0.88700000000000001</c:v>
                </c:pt>
              </c:numCache>
            </c:numRef>
          </c:val>
        </c:ser>
        <c:ser>
          <c:idx val="2"/>
          <c:order val="2"/>
          <c:tx>
            <c:v>T = 75 F</c:v>
          </c:tx>
          <c:spPr>
            <a:ln w="12700">
              <a:solidFill>
                <a:srgbClr val="FFFF00"/>
              </a:solidFill>
              <a:prstDash val="solid"/>
            </a:ln>
          </c:spPr>
          <c:marker>
            <c:symbol val="triangle"/>
            <c:size val="5"/>
            <c:spPr>
              <a:solidFill>
                <a:srgbClr val="FFFF00"/>
              </a:solidFill>
              <a:ln>
                <a:solidFill>
                  <a:srgbClr val="FFFF00"/>
                </a:solidFill>
                <a:prstDash val="solid"/>
              </a:ln>
            </c:spPr>
          </c:marker>
          <c:trendline>
            <c:spPr>
              <a:ln w="25400">
                <a:solidFill>
                  <a:srgbClr val="000000"/>
                </a:solidFill>
                <a:prstDash val="solid"/>
              </a:ln>
            </c:spPr>
            <c:trendlineType val="poly"/>
            <c:order val="3"/>
          </c:trendline>
          <c:cat>
            <c:numRef>
              <c:f>'DATA - MW = 15.95 (Sp Gr= 0.55)'!$A$8:$A$33</c:f>
              <c:numCache>
                <c:formatCode>General</c:formatCode>
                <c:ptCount val="26"/>
                <c:pt idx="0">
                  <c:v>0</c:v>
                </c:pt>
                <c:pt idx="1">
                  <c:v>50</c:v>
                </c:pt>
                <c:pt idx="2">
                  <c:v>100</c:v>
                </c:pt>
                <c:pt idx="3">
                  <c:v>150</c:v>
                </c:pt>
                <c:pt idx="4">
                  <c:v>200</c:v>
                </c:pt>
                <c:pt idx="5">
                  <c:v>250</c:v>
                </c:pt>
                <c:pt idx="6">
                  <c:v>300</c:v>
                </c:pt>
                <c:pt idx="7">
                  <c:v>350</c:v>
                </c:pt>
                <c:pt idx="8">
                  <c:v>400</c:v>
                </c:pt>
                <c:pt idx="9">
                  <c:v>450</c:v>
                </c:pt>
                <c:pt idx="10">
                  <c:v>500</c:v>
                </c:pt>
                <c:pt idx="11">
                  <c:v>550</c:v>
                </c:pt>
                <c:pt idx="12">
                  <c:v>600</c:v>
                </c:pt>
                <c:pt idx="13">
                  <c:v>650</c:v>
                </c:pt>
                <c:pt idx="14">
                  <c:v>700</c:v>
                </c:pt>
                <c:pt idx="15">
                  <c:v>750</c:v>
                </c:pt>
                <c:pt idx="16">
                  <c:v>800</c:v>
                </c:pt>
                <c:pt idx="17">
                  <c:v>850</c:v>
                </c:pt>
                <c:pt idx="18">
                  <c:v>900</c:v>
                </c:pt>
                <c:pt idx="19">
                  <c:v>950</c:v>
                </c:pt>
                <c:pt idx="20">
                  <c:v>1000</c:v>
                </c:pt>
                <c:pt idx="21">
                  <c:v>1050</c:v>
                </c:pt>
                <c:pt idx="22">
                  <c:v>1100</c:v>
                </c:pt>
                <c:pt idx="23">
                  <c:v>1150</c:v>
                </c:pt>
                <c:pt idx="24">
                  <c:v>1200</c:v>
                </c:pt>
                <c:pt idx="25">
                  <c:v>1250</c:v>
                </c:pt>
              </c:numCache>
            </c:numRef>
          </c:cat>
          <c:val>
            <c:numRef>
              <c:f>'DATA - MW = 15.95 (Sp Gr= 0.55)'!$Q$8:$Q$33</c:f>
              <c:numCache>
                <c:formatCode>General</c:formatCode>
                <c:ptCount val="26"/>
                <c:pt idx="0">
                  <c:v>1</c:v>
                </c:pt>
                <c:pt idx="1">
                  <c:v>0.99299999999999999</c:v>
                </c:pt>
                <c:pt idx="2">
                  <c:v>0.98699999999999999</c:v>
                </c:pt>
                <c:pt idx="3">
                  <c:v>0.98099999999999998</c:v>
                </c:pt>
                <c:pt idx="4">
                  <c:v>0.97499999999999998</c:v>
                </c:pt>
                <c:pt idx="5">
                  <c:v>0.97</c:v>
                </c:pt>
                <c:pt idx="6">
                  <c:v>0.96399999999999997</c:v>
                </c:pt>
                <c:pt idx="7">
                  <c:v>0.95799999999999996</c:v>
                </c:pt>
                <c:pt idx="8">
                  <c:v>0.95199999999999996</c:v>
                </c:pt>
                <c:pt idx="9">
                  <c:v>0.94699999999999995</c:v>
                </c:pt>
                <c:pt idx="10">
                  <c:v>0.94</c:v>
                </c:pt>
                <c:pt idx="11">
                  <c:v>0.93700000000000006</c:v>
                </c:pt>
                <c:pt idx="12">
                  <c:v>0.93100000000000005</c:v>
                </c:pt>
                <c:pt idx="13">
                  <c:v>0.92600000000000005</c:v>
                </c:pt>
                <c:pt idx="14">
                  <c:v>0.92</c:v>
                </c:pt>
                <c:pt idx="15">
                  <c:v>0.91100000000000003</c:v>
                </c:pt>
                <c:pt idx="16">
                  <c:v>0.90500000000000003</c:v>
                </c:pt>
                <c:pt idx="17">
                  <c:v>0.90100000000000002</c:v>
                </c:pt>
                <c:pt idx="18">
                  <c:v>0.89700000000000002</c:v>
                </c:pt>
                <c:pt idx="19">
                  <c:v>0.89300000000000002</c:v>
                </c:pt>
                <c:pt idx="20">
                  <c:v>0.88900000000000001</c:v>
                </c:pt>
                <c:pt idx="21">
                  <c:v>0.88400000000000001</c:v>
                </c:pt>
                <c:pt idx="22">
                  <c:v>0.88</c:v>
                </c:pt>
                <c:pt idx="23">
                  <c:v>0.875</c:v>
                </c:pt>
                <c:pt idx="24">
                  <c:v>0.87</c:v>
                </c:pt>
                <c:pt idx="25">
                  <c:v>0.86399999999999999</c:v>
                </c:pt>
              </c:numCache>
            </c:numRef>
          </c:val>
        </c:ser>
        <c:ser>
          <c:idx val="3"/>
          <c:order val="3"/>
          <c:tx>
            <c:v>T = 50 F</c:v>
          </c:tx>
          <c:spPr>
            <a:ln w="12700">
              <a:solidFill>
                <a:srgbClr val="00FFFF"/>
              </a:solidFill>
              <a:prstDash val="solid"/>
            </a:ln>
          </c:spPr>
          <c:marker>
            <c:symbol val="x"/>
            <c:size val="5"/>
            <c:spPr>
              <a:noFill/>
              <a:ln>
                <a:solidFill>
                  <a:srgbClr val="00FFFF"/>
                </a:solidFill>
                <a:prstDash val="solid"/>
              </a:ln>
            </c:spPr>
          </c:marker>
          <c:trendline>
            <c:spPr>
              <a:ln w="25400">
                <a:solidFill>
                  <a:srgbClr val="000000"/>
                </a:solidFill>
                <a:prstDash val="solid"/>
              </a:ln>
            </c:spPr>
            <c:trendlineType val="poly"/>
            <c:order val="3"/>
          </c:trendline>
          <c:cat>
            <c:numRef>
              <c:f>'DATA - MW = 15.95 (Sp Gr= 0.55)'!$A$8:$A$33</c:f>
              <c:numCache>
                <c:formatCode>General</c:formatCode>
                <c:ptCount val="26"/>
                <c:pt idx="0">
                  <c:v>0</c:v>
                </c:pt>
                <c:pt idx="1">
                  <c:v>50</c:v>
                </c:pt>
                <c:pt idx="2">
                  <c:v>100</c:v>
                </c:pt>
                <c:pt idx="3">
                  <c:v>150</c:v>
                </c:pt>
                <c:pt idx="4">
                  <c:v>200</c:v>
                </c:pt>
                <c:pt idx="5">
                  <c:v>250</c:v>
                </c:pt>
                <c:pt idx="6">
                  <c:v>300</c:v>
                </c:pt>
                <c:pt idx="7">
                  <c:v>350</c:v>
                </c:pt>
                <c:pt idx="8">
                  <c:v>400</c:v>
                </c:pt>
                <c:pt idx="9">
                  <c:v>450</c:v>
                </c:pt>
                <c:pt idx="10">
                  <c:v>500</c:v>
                </c:pt>
                <c:pt idx="11">
                  <c:v>550</c:v>
                </c:pt>
                <c:pt idx="12">
                  <c:v>600</c:v>
                </c:pt>
                <c:pt idx="13">
                  <c:v>650</c:v>
                </c:pt>
                <c:pt idx="14">
                  <c:v>700</c:v>
                </c:pt>
                <c:pt idx="15">
                  <c:v>750</c:v>
                </c:pt>
                <c:pt idx="16">
                  <c:v>800</c:v>
                </c:pt>
                <c:pt idx="17">
                  <c:v>850</c:v>
                </c:pt>
                <c:pt idx="18">
                  <c:v>900</c:v>
                </c:pt>
                <c:pt idx="19">
                  <c:v>950</c:v>
                </c:pt>
                <c:pt idx="20">
                  <c:v>1000</c:v>
                </c:pt>
                <c:pt idx="21">
                  <c:v>1050</c:v>
                </c:pt>
                <c:pt idx="22">
                  <c:v>1100</c:v>
                </c:pt>
                <c:pt idx="23">
                  <c:v>1150</c:v>
                </c:pt>
                <c:pt idx="24">
                  <c:v>1200</c:v>
                </c:pt>
                <c:pt idx="25">
                  <c:v>1250</c:v>
                </c:pt>
              </c:numCache>
            </c:numRef>
          </c:cat>
          <c:val>
            <c:numRef>
              <c:f>'DATA - MW = 15.95 (Sp Gr= 0.55)'!$V$8:$V$33</c:f>
              <c:numCache>
                <c:formatCode>General</c:formatCode>
                <c:ptCount val="26"/>
                <c:pt idx="0">
                  <c:v>1</c:v>
                </c:pt>
                <c:pt idx="1">
                  <c:v>0.99199999999999999</c:v>
                </c:pt>
                <c:pt idx="2">
                  <c:v>0.98599999999999999</c:v>
                </c:pt>
                <c:pt idx="3">
                  <c:v>0.98099999999999998</c:v>
                </c:pt>
                <c:pt idx="4">
                  <c:v>0.97399999999999998</c:v>
                </c:pt>
                <c:pt idx="5">
                  <c:v>0.96499999999999997</c:v>
                </c:pt>
                <c:pt idx="6">
                  <c:v>0.95599999999999996</c:v>
                </c:pt>
                <c:pt idx="7">
                  <c:v>0.95</c:v>
                </c:pt>
                <c:pt idx="8">
                  <c:v>0.94399999999999995</c:v>
                </c:pt>
                <c:pt idx="9">
                  <c:v>0.93700000000000006</c:v>
                </c:pt>
                <c:pt idx="10">
                  <c:v>0.93100000000000005</c:v>
                </c:pt>
                <c:pt idx="11">
                  <c:v>0.92400000000000004</c:v>
                </c:pt>
                <c:pt idx="12">
                  <c:v>0.91500000000000004</c:v>
                </c:pt>
                <c:pt idx="13">
                  <c:v>0.90600000000000003</c:v>
                </c:pt>
                <c:pt idx="14">
                  <c:v>0.89900000000000002</c:v>
                </c:pt>
                <c:pt idx="15">
                  <c:v>0.89200000000000002</c:v>
                </c:pt>
                <c:pt idx="16">
                  <c:v>0.88700000000000001</c:v>
                </c:pt>
                <c:pt idx="17">
                  <c:v>0.88200000000000001</c:v>
                </c:pt>
                <c:pt idx="18">
                  <c:v>0.876</c:v>
                </c:pt>
                <c:pt idx="19">
                  <c:v>0.86799999999999999</c:v>
                </c:pt>
                <c:pt idx="20">
                  <c:v>0.86</c:v>
                </c:pt>
                <c:pt idx="21">
                  <c:v>0.85899999999999999</c:v>
                </c:pt>
                <c:pt idx="22">
                  <c:v>0.85399999999999998</c:v>
                </c:pt>
                <c:pt idx="23">
                  <c:v>0.84799999999999998</c:v>
                </c:pt>
                <c:pt idx="24">
                  <c:v>0.84</c:v>
                </c:pt>
                <c:pt idx="25">
                  <c:v>0.83199999999999996</c:v>
                </c:pt>
              </c:numCache>
            </c:numRef>
          </c:val>
        </c:ser>
        <c:ser>
          <c:idx val="4"/>
          <c:order val="4"/>
          <c:tx>
            <c:v>T = 25 F</c:v>
          </c:tx>
          <c:spPr>
            <a:ln w="12700">
              <a:solidFill>
                <a:srgbClr val="800080"/>
              </a:solidFill>
              <a:prstDash val="solid"/>
            </a:ln>
          </c:spPr>
          <c:marker>
            <c:symbol val="star"/>
            <c:size val="5"/>
            <c:spPr>
              <a:noFill/>
              <a:ln>
                <a:solidFill>
                  <a:srgbClr val="800080"/>
                </a:solidFill>
                <a:prstDash val="solid"/>
              </a:ln>
            </c:spPr>
          </c:marker>
          <c:trendline>
            <c:spPr>
              <a:ln w="25400">
                <a:solidFill>
                  <a:srgbClr val="000000"/>
                </a:solidFill>
                <a:prstDash val="solid"/>
              </a:ln>
            </c:spPr>
            <c:trendlineType val="poly"/>
            <c:order val="3"/>
          </c:trendline>
          <c:cat>
            <c:numRef>
              <c:f>'DATA - MW = 15.95 (Sp Gr= 0.55)'!$A$8:$A$33</c:f>
              <c:numCache>
                <c:formatCode>General</c:formatCode>
                <c:ptCount val="26"/>
                <c:pt idx="0">
                  <c:v>0</c:v>
                </c:pt>
                <c:pt idx="1">
                  <c:v>50</c:v>
                </c:pt>
                <c:pt idx="2">
                  <c:v>100</c:v>
                </c:pt>
                <c:pt idx="3">
                  <c:v>150</c:v>
                </c:pt>
                <c:pt idx="4">
                  <c:v>200</c:v>
                </c:pt>
                <c:pt idx="5">
                  <c:v>250</c:v>
                </c:pt>
                <c:pt idx="6">
                  <c:v>300</c:v>
                </c:pt>
                <c:pt idx="7">
                  <c:v>350</c:v>
                </c:pt>
                <c:pt idx="8">
                  <c:v>400</c:v>
                </c:pt>
                <c:pt idx="9">
                  <c:v>450</c:v>
                </c:pt>
                <c:pt idx="10">
                  <c:v>500</c:v>
                </c:pt>
                <c:pt idx="11">
                  <c:v>550</c:v>
                </c:pt>
                <c:pt idx="12">
                  <c:v>600</c:v>
                </c:pt>
                <c:pt idx="13">
                  <c:v>650</c:v>
                </c:pt>
                <c:pt idx="14">
                  <c:v>700</c:v>
                </c:pt>
                <c:pt idx="15">
                  <c:v>750</c:v>
                </c:pt>
                <c:pt idx="16">
                  <c:v>800</c:v>
                </c:pt>
                <c:pt idx="17">
                  <c:v>850</c:v>
                </c:pt>
                <c:pt idx="18">
                  <c:v>900</c:v>
                </c:pt>
                <c:pt idx="19">
                  <c:v>950</c:v>
                </c:pt>
                <c:pt idx="20">
                  <c:v>1000</c:v>
                </c:pt>
                <c:pt idx="21">
                  <c:v>1050</c:v>
                </c:pt>
                <c:pt idx="22">
                  <c:v>1100</c:v>
                </c:pt>
                <c:pt idx="23">
                  <c:v>1150</c:v>
                </c:pt>
                <c:pt idx="24">
                  <c:v>1200</c:v>
                </c:pt>
                <c:pt idx="25">
                  <c:v>1250</c:v>
                </c:pt>
              </c:numCache>
            </c:numRef>
          </c:cat>
          <c:val>
            <c:numRef>
              <c:f>'DATA - MW = 15.95 (Sp Gr= 0.55)'!$AA$8:$AA$33</c:f>
              <c:numCache>
                <c:formatCode>General</c:formatCode>
                <c:ptCount val="26"/>
                <c:pt idx="0">
                  <c:v>1</c:v>
                </c:pt>
                <c:pt idx="1">
                  <c:v>0.99</c:v>
                </c:pt>
                <c:pt idx="2">
                  <c:v>0.98599999999999999</c:v>
                </c:pt>
                <c:pt idx="3">
                  <c:v>0.98</c:v>
                </c:pt>
                <c:pt idx="4">
                  <c:v>0.97</c:v>
                </c:pt>
                <c:pt idx="5">
                  <c:v>0.96</c:v>
                </c:pt>
                <c:pt idx="6">
                  <c:v>0.95</c:v>
                </c:pt>
                <c:pt idx="7">
                  <c:v>0.94199999999999995</c:v>
                </c:pt>
                <c:pt idx="8">
                  <c:v>0.93600000000000005</c:v>
                </c:pt>
                <c:pt idx="9">
                  <c:v>0.92700000000000005</c:v>
                </c:pt>
                <c:pt idx="10">
                  <c:v>0.91900000000000004</c:v>
                </c:pt>
                <c:pt idx="11">
                  <c:v>0.90800000000000003</c:v>
                </c:pt>
                <c:pt idx="12">
                  <c:v>0.9</c:v>
                </c:pt>
                <c:pt idx="13">
                  <c:v>0.89200000000000002</c:v>
                </c:pt>
                <c:pt idx="14">
                  <c:v>0.88400000000000001</c:v>
                </c:pt>
                <c:pt idx="15">
                  <c:v>0.876</c:v>
                </c:pt>
                <c:pt idx="16">
                  <c:v>0.87</c:v>
                </c:pt>
                <c:pt idx="17">
                  <c:v>0.86099999999999999</c:v>
                </c:pt>
                <c:pt idx="18">
                  <c:v>0.85199999999999998</c:v>
                </c:pt>
                <c:pt idx="19">
                  <c:v>0.84199999999999997</c:v>
                </c:pt>
                <c:pt idx="20">
                  <c:v>0.83599999999999997</c:v>
                </c:pt>
                <c:pt idx="21">
                  <c:v>0.83</c:v>
                </c:pt>
                <c:pt idx="22">
                  <c:v>0.82399999999999995</c:v>
                </c:pt>
                <c:pt idx="23">
                  <c:v>0.81699999999999995</c:v>
                </c:pt>
                <c:pt idx="24">
                  <c:v>0.80900000000000005</c:v>
                </c:pt>
                <c:pt idx="25">
                  <c:v>0.80100000000000005</c:v>
                </c:pt>
              </c:numCache>
            </c:numRef>
          </c:val>
        </c:ser>
        <c:ser>
          <c:idx val="5"/>
          <c:order val="5"/>
          <c:tx>
            <c:v>T = 0 F</c:v>
          </c:tx>
          <c:spPr>
            <a:ln w="12700">
              <a:solidFill>
                <a:srgbClr val="800000"/>
              </a:solidFill>
              <a:prstDash val="solid"/>
            </a:ln>
          </c:spPr>
          <c:marker>
            <c:symbol val="circle"/>
            <c:size val="5"/>
            <c:spPr>
              <a:solidFill>
                <a:srgbClr val="800000"/>
              </a:solidFill>
              <a:ln>
                <a:solidFill>
                  <a:srgbClr val="800000"/>
                </a:solidFill>
                <a:prstDash val="solid"/>
              </a:ln>
            </c:spPr>
          </c:marker>
          <c:trendline>
            <c:spPr>
              <a:ln w="25400">
                <a:solidFill>
                  <a:srgbClr val="000000"/>
                </a:solidFill>
                <a:prstDash val="solid"/>
              </a:ln>
            </c:spPr>
            <c:trendlineType val="poly"/>
            <c:order val="3"/>
          </c:trendline>
          <c:cat>
            <c:numRef>
              <c:f>'DATA - MW = 15.95 (Sp Gr= 0.55)'!$A$8:$A$33</c:f>
              <c:numCache>
                <c:formatCode>General</c:formatCode>
                <c:ptCount val="26"/>
                <c:pt idx="0">
                  <c:v>0</c:v>
                </c:pt>
                <c:pt idx="1">
                  <c:v>50</c:v>
                </c:pt>
                <c:pt idx="2">
                  <c:v>100</c:v>
                </c:pt>
                <c:pt idx="3">
                  <c:v>150</c:v>
                </c:pt>
                <c:pt idx="4">
                  <c:v>200</c:v>
                </c:pt>
                <c:pt idx="5">
                  <c:v>250</c:v>
                </c:pt>
                <c:pt idx="6">
                  <c:v>300</c:v>
                </c:pt>
                <c:pt idx="7">
                  <c:v>350</c:v>
                </c:pt>
                <c:pt idx="8">
                  <c:v>400</c:v>
                </c:pt>
                <c:pt idx="9">
                  <c:v>450</c:v>
                </c:pt>
                <c:pt idx="10">
                  <c:v>500</c:v>
                </c:pt>
                <c:pt idx="11">
                  <c:v>550</c:v>
                </c:pt>
                <c:pt idx="12">
                  <c:v>600</c:v>
                </c:pt>
                <c:pt idx="13">
                  <c:v>650</c:v>
                </c:pt>
                <c:pt idx="14">
                  <c:v>700</c:v>
                </c:pt>
                <c:pt idx="15">
                  <c:v>750</c:v>
                </c:pt>
                <c:pt idx="16">
                  <c:v>800</c:v>
                </c:pt>
                <c:pt idx="17">
                  <c:v>850</c:v>
                </c:pt>
                <c:pt idx="18">
                  <c:v>900</c:v>
                </c:pt>
                <c:pt idx="19">
                  <c:v>950</c:v>
                </c:pt>
                <c:pt idx="20">
                  <c:v>1000</c:v>
                </c:pt>
                <c:pt idx="21">
                  <c:v>1050</c:v>
                </c:pt>
                <c:pt idx="22">
                  <c:v>1100</c:v>
                </c:pt>
                <c:pt idx="23">
                  <c:v>1150</c:v>
                </c:pt>
                <c:pt idx="24">
                  <c:v>1200</c:v>
                </c:pt>
                <c:pt idx="25">
                  <c:v>1250</c:v>
                </c:pt>
              </c:numCache>
            </c:numRef>
          </c:cat>
          <c:val>
            <c:numRef>
              <c:f>'DATA - MW = 15.95 (Sp Gr= 0.55)'!$AF$8:$AF$33</c:f>
              <c:numCache>
                <c:formatCode>General</c:formatCode>
                <c:ptCount val="26"/>
                <c:pt idx="0">
                  <c:v>1</c:v>
                </c:pt>
                <c:pt idx="1">
                  <c:v>0.99</c:v>
                </c:pt>
                <c:pt idx="2">
                  <c:v>0.98499999999999999</c:v>
                </c:pt>
                <c:pt idx="3">
                  <c:v>0.97299999999999998</c:v>
                </c:pt>
                <c:pt idx="4">
                  <c:v>0.96099999999999997</c:v>
                </c:pt>
                <c:pt idx="5">
                  <c:v>0.95</c:v>
                </c:pt>
                <c:pt idx="6">
                  <c:v>0.94</c:v>
                </c:pt>
                <c:pt idx="7">
                  <c:v>0.93</c:v>
                </c:pt>
                <c:pt idx="8">
                  <c:v>0.91800000000000004</c:v>
                </c:pt>
                <c:pt idx="9">
                  <c:v>0.90500000000000003</c:v>
                </c:pt>
                <c:pt idx="10">
                  <c:v>0.89600000000000002</c:v>
                </c:pt>
                <c:pt idx="11">
                  <c:v>0.88800000000000001</c:v>
                </c:pt>
                <c:pt idx="12">
                  <c:v>0.88</c:v>
                </c:pt>
                <c:pt idx="13">
                  <c:v>0.86699999999999999</c:v>
                </c:pt>
                <c:pt idx="14">
                  <c:v>0.85699999999999998</c:v>
                </c:pt>
                <c:pt idx="15">
                  <c:v>0.84799999999999998</c:v>
                </c:pt>
                <c:pt idx="16">
                  <c:v>0.84</c:v>
                </c:pt>
                <c:pt idx="17">
                  <c:v>0.83099999999999996</c:v>
                </c:pt>
                <c:pt idx="18">
                  <c:v>0.82199999999999995</c:v>
                </c:pt>
                <c:pt idx="19">
                  <c:v>0.81</c:v>
                </c:pt>
                <c:pt idx="20">
                  <c:v>0.8</c:v>
                </c:pt>
                <c:pt idx="21">
                  <c:v>0.79400000000000004</c:v>
                </c:pt>
                <c:pt idx="22">
                  <c:v>0.78300000000000003</c:v>
                </c:pt>
                <c:pt idx="23">
                  <c:v>0.77400000000000002</c:v>
                </c:pt>
                <c:pt idx="24">
                  <c:v>0.76400000000000001</c:v>
                </c:pt>
                <c:pt idx="25">
                  <c:v>0.755</c:v>
                </c:pt>
              </c:numCache>
            </c:numRef>
          </c:val>
        </c:ser>
        <c:ser>
          <c:idx val="6"/>
          <c:order val="6"/>
          <c:tx>
            <c:v>T = 125 F</c:v>
          </c:tx>
          <c:spPr>
            <a:ln w="12700">
              <a:solidFill>
                <a:srgbClr val="008080"/>
              </a:solidFill>
              <a:prstDash val="solid"/>
            </a:ln>
          </c:spPr>
          <c:marker>
            <c:symbol val="plus"/>
            <c:size val="5"/>
            <c:spPr>
              <a:noFill/>
              <a:ln>
                <a:solidFill>
                  <a:srgbClr val="008080"/>
                </a:solidFill>
                <a:prstDash val="solid"/>
              </a:ln>
            </c:spPr>
          </c:marker>
          <c:trendline>
            <c:spPr>
              <a:ln w="25400">
                <a:solidFill>
                  <a:srgbClr val="000000"/>
                </a:solidFill>
                <a:prstDash val="solid"/>
              </a:ln>
            </c:spPr>
            <c:trendlineType val="poly"/>
            <c:order val="3"/>
          </c:trendline>
          <c:cat>
            <c:numRef>
              <c:f>'DATA - MW = 15.95 (Sp Gr= 0.55)'!$A$8:$A$33</c:f>
              <c:numCache>
                <c:formatCode>General</c:formatCode>
                <c:ptCount val="26"/>
                <c:pt idx="0">
                  <c:v>0</c:v>
                </c:pt>
                <c:pt idx="1">
                  <c:v>50</c:v>
                </c:pt>
                <c:pt idx="2">
                  <c:v>100</c:v>
                </c:pt>
                <c:pt idx="3">
                  <c:v>150</c:v>
                </c:pt>
                <c:pt idx="4">
                  <c:v>200</c:v>
                </c:pt>
                <c:pt idx="5">
                  <c:v>250</c:v>
                </c:pt>
                <c:pt idx="6">
                  <c:v>300</c:v>
                </c:pt>
                <c:pt idx="7">
                  <c:v>350</c:v>
                </c:pt>
                <c:pt idx="8">
                  <c:v>400</c:v>
                </c:pt>
                <c:pt idx="9">
                  <c:v>450</c:v>
                </c:pt>
                <c:pt idx="10">
                  <c:v>500</c:v>
                </c:pt>
                <c:pt idx="11">
                  <c:v>550</c:v>
                </c:pt>
                <c:pt idx="12">
                  <c:v>600</c:v>
                </c:pt>
                <c:pt idx="13">
                  <c:v>650</c:v>
                </c:pt>
                <c:pt idx="14">
                  <c:v>700</c:v>
                </c:pt>
                <c:pt idx="15">
                  <c:v>750</c:v>
                </c:pt>
                <c:pt idx="16">
                  <c:v>800</c:v>
                </c:pt>
                <c:pt idx="17">
                  <c:v>850</c:v>
                </c:pt>
                <c:pt idx="18">
                  <c:v>900</c:v>
                </c:pt>
                <c:pt idx="19">
                  <c:v>950</c:v>
                </c:pt>
                <c:pt idx="20">
                  <c:v>1000</c:v>
                </c:pt>
                <c:pt idx="21">
                  <c:v>1050</c:v>
                </c:pt>
                <c:pt idx="22">
                  <c:v>1100</c:v>
                </c:pt>
                <c:pt idx="23">
                  <c:v>1150</c:v>
                </c:pt>
                <c:pt idx="24">
                  <c:v>1200</c:v>
                </c:pt>
                <c:pt idx="25">
                  <c:v>1250</c:v>
                </c:pt>
              </c:numCache>
            </c:numRef>
          </c:cat>
          <c:val>
            <c:numRef>
              <c:f>'DATA - MW = 15.95 (Sp Gr= 0.55)'!$G$8:$G$33</c:f>
              <c:numCache>
                <c:formatCode>General</c:formatCode>
                <c:ptCount val="26"/>
                <c:pt idx="0">
                  <c:v>1</c:v>
                </c:pt>
                <c:pt idx="1">
                  <c:v>0.99550000000000005</c:v>
                </c:pt>
                <c:pt idx="2">
                  <c:v>0.99199999999999999</c:v>
                </c:pt>
                <c:pt idx="3">
                  <c:v>0.98849999999999993</c:v>
                </c:pt>
                <c:pt idx="4">
                  <c:v>0.98449999999999993</c:v>
                </c:pt>
                <c:pt idx="5">
                  <c:v>0.98</c:v>
                </c:pt>
                <c:pt idx="6">
                  <c:v>0.97550000000000003</c:v>
                </c:pt>
                <c:pt idx="7">
                  <c:v>0.97150000000000003</c:v>
                </c:pt>
                <c:pt idx="8">
                  <c:v>0.96799999999999997</c:v>
                </c:pt>
                <c:pt idx="9">
                  <c:v>0.96350000000000002</c:v>
                </c:pt>
                <c:pt idx="10">
                  <c:v>0.96</c:v>
                </c:pt>
                <c:pt idx="11">
                  <c:v>0.95649999999999991</c:v>
                </c:pt>
                <c:pt idx="12">
                  <c:v>0.95199999999999996</c:v>
                </c:pt>
                <c:pt idx="13">
                  <c:v>0.94850000000000001</c:v>
                </c:pt>
                <c:pt idx="14">
                  <c:v>0.94350000000000001</c:v>
                </c:pt>
                <c:pt idx="15">
                  <c:v>0.94</c:v>
                </c:pt>
                <c:pt idx="16">
                  <c:v>0.93799999999999994</c:v>
                </c:pt>
                <c:pt idx="17">
                  <c:v>0.93399999999999994</c:v>
                </c:pt>
                <c:pt idx="18">
                  <c:v>0.92900000000000005</c:v>
                </c:pt>
                <c:pt idx="19">
                  <c:v>0.92449999999999999</c:v>
                </c:pt>
                <c:pt idx="20">
                  <c:v>0.92149999999999999</c:v>
                </c:pt>
                <c:pt idx="21">
                  <c:v>0.91850000000000009</c:v>
                </c:pt>
                <c:pt idx="22">
                  <c:v>0.91600000000000004</c:v>
                </c:pt>
                <c:pt idx="23">
                  <c:v>0.91300000000000003</c:v>
                </c:pt>
                <c:pt idx="24">
                  <c:v>0.91</c:v>
                </c:pt>
                <c:pt idx="25">
                  <c:v>0.90700000000000003</c:v>
                </c:pt>
              </c:numCache>
            </c:numRef>
          </c:val>
        </c:ser>
        <c:marker val="1"/>
        <c:axId val="140987392"/>
        <c:axId val="141018240"/>
      </c:lineChart>
      <c:catAx>
        <c:axId val="140987392"/>
        <c:scaling>
          <c:orientation val="minMax"/>
        </c:scaling>
        <c:axPos val="b"/>
        <c:title>
          <c:tx>
            <c:rich>
              <a:bodyPr/>
              <a:lstStyle/>
              <a:p>
                <a:pPr>
                  <a:defRPr sz="1000" b="1" i="0" u="none" strike="noStrike" baseline="0">
                    <a:solidFill>
                      <a:srgbClr val="000000"/>
                    </a:solidFill>
                    <a:latin typeface="Arial"/>
                    <a:ea typeface="Arial"/>
                    <a:cs typeface="Arial"/>
                  </a:defRPr>
                </a:pPr>
                <a:r>
                  <a:rPr lang="en-US"/>
                  <a:t>Pressure (psig)</a:t>
                </a:r>
              </a:p>
            </c:rich>
          </c:tx>
          <c:layout>
            <c:manualLayout>
              <c:xMode val="edge"/>
              <c:yMode val="edge"/>
              <c:x val="0.40177580466148721"/>
              <c:y val="0.94453507340946163"/>
            </c:manualLayout>
          </c:layout>
          <c:spPr>
            <a:noFill/>
            <a:ln w="25400">
              <a:noFill/>
            </a:ln>
          </c:spPr>
        </c:title>
        <c:numFmt formatCode="General" sourceLinked="1"/>
        <c:minorTickMark val="cross"/>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41018240"/>
        <c:crossesAt val="0.65000000000000013"/>
        <c:auto val="1"/>
        <c:lblAlgn val="ctr"/>
        <c:lblOffset val="100"/>
        <c:tickLblSkip val="2"/>
        <c:tickMarkSkip val="1"/>
      </c:catAx>
      <c:valAx>
        <c:axId val="141018240"/>
        <c:scaling>
          <c:orientation val="minMax"/>
          <c:min val="0.65000000000000013"/>
        </c:scaling>
        <c:axPos val="l"/>
        <c:majorGridlines>
          <c:spPr>
            <a:ln w="3175">
              <a:solidFill>
                <a:srgbClr val="000000"/>
              </a:solidFill>
              <a:prstDash val="solid"/>
            </a:ln>
          </c:spPr>
        </c:majorGridlines>
        <c:title>
          <c:tx>
            <c:rich>
              <a:bodyPr/>
              <a:lstStyle/>
              <a:p>
                <a:pPr>
                  <a:defRPr sz="1000" b="1" i="0" u="none" strike="noStrike" baseline="0">
                    <a:solidFill>
                      <a:srgbClr val="000000"/>
                    </a:solidFill>
                    <a:latin typeface="Arial"/>
                    <a:ea typeface="Arial"/>
                    <a:cs typeface="Arial"/>
                  </a:defRPr>
                </a:pPr>
                <a:r>
                  <a:rPr lang="en-US"/>
                  <a:t>Z</a:t>
                </a:r>
              </a:p>
            </c:rich>
          </c:tx>
          <c:layout>
            <c:manualLayout>
              <c:xMode val="edge"/>
              <c:yMode val="edge"/>
              <c:x val="1.2208657047724751E-2"/>
              <c:y val="0.49918433931484518"/>
            </c:manualLayout>
          </c:layout>
          <c:spPr>
            <a:noFill/>
            <a:ln w="25400">
              <a:noFill/>
            </a:ln>
          </c:spPr>
        </c:title>
        <c:numFmt formatCode="General" sourceLinked="1"/>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40987392"/>
        <c:crosses val="autoZero"/>
        <c:crossBetween val="between"/>
      </c:valAx>
      <c:spPr>
        <a:solidFill>
          <a:srgbClr val="FFFFFF"/>
        </a:solidFill>
        <a:ln w="12700">
          <a:solidFill>
            <a:srgbClr val="808080"/>
          </a:solidFill>
          <a:prstDash val="solid"/>
        </a:ln>
      </c:spPr>
    </c:plotArea>
    <c:legend>
      <c:legendPos val="r"/>
      <c:layout>
        <c:manualLayout>
          <c:xMode val="edge"/>
          <c:yMode val="edge"/>
          <c:x val="0.84350721420643737"/>
          <c:y val="0.26753670473083196"/>
          <c:w val="0.15205327413984462"/>
          <c:h val="0.48123980424143559"/>
        </c:manualLayout>
      </c:layout>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n-US"/>
        </a:p>
      </c:txPr>
    </c:legend>
    <c:plotVisOnly val="1"/>
    <c:dispBlanksAs val="gap"/>
  </c:chart>
  <c:spPr>
    <a:noFill/>
    <a:ln w="9525">
      <a:noFill/>
    </a:ln>
  </c:spPr>
  <c:txPr>
    <a:bodyPr/>
    <a:lstStyle/>
    <a:p>
      <a:pPr>
        <a:defRPr sz="1000" b="0" i="0" u="none" strike="noStrike" baseline="0">
          <a:solidFill>
            <a:srgbClr val="000000"/>
          </a:solidFill>
          <a:latin typeface="Arial"/>
          <a:ea typeface="Arial"/>
          <a:cs typeface="Arial"/>
        </a:defRPr>
      </a:pPr>
      <a:endParaRPr lang="en-US"/>
    </a:p>
  </c:txPr>
</c:chartSpace>
</file>

<file path=xl/charts/chart2.xml><?xml version="1.0" encoding="utf-8"?>
<c:chartSpace xmlns:c="http://schemas.openxmlformats.org/drawingml/2006/chart" xmlns:a="http://schemas.openxmlformats.org/drawingml/2006/main" xmlns:r="http://schemas.openxmlformats.org/officeDocument/2006/relationships">
  <c:lang val="en-US"/>
  <c:protection/>
  <c:chart>
    <c:title>
      <c:tx>
        <c:rich>
          <a:bodyPr/>
          <a:lstStyle/>
          <a:p>
            <a:pPr>
              <a:defRPr sz="1200" b="1" i="0" u="none" strike="noStrike" baseline="0">
                <a:solidFill>
                  <a:srgbClr val="000000"/>
                </a:solidFill>
                <a:latin typeface="Arial"/>
                <a:ea typeface="Arial"/>
                <a:cs typeface="Arial"/>
              </a:defRPr>
            </a:pPr>
            <a:r>
              <a:rPr lang="en-US"/>
              <a:t>Compressibility (Sp Gr = 0.55, MW = 15.95)</a:t>
            </a:r>
          </a:p>
        </c:rich>
      </c:tx>
      <c:layout>
        <c:manualLayout>
          <c:xMode val="edge"/>
          <c:yMode val="edge"/>
          <c:x val="0.32075471698113206"/>
          <c:y val="1.9575856443719414E-2"/>
        </c:manualLayout>
      </c:layout>
      <c:spPr>
        <a:noFill/>
        <a:ln w="25400">
          <a:noFill/>
        </a:ln>
      </c:spPr>
    </c:title>
    <c:plotArea>
      <c:layout>
        <c:manualLayout>
          <c:layoutTarget val="inner"/>
          <c:xMode val="edge"/>
          <c:yMode val="edge"/>
          <c:x val="7.7691453940066602E-2"/>
          <c:y val="0.12234910277324634"/>
          <c:w val="0.76581576026637077"/>
          <c:h val="0.77324632952691674"/>
        </c:manualLayout>
      </c:layout>
      <c:lineChart>
        <c:grouping val="standard"/>
        <c:ser>
          <c:idx val="0"/>
          <c:order val="0"/>
          <c:tx>
            <c:v>T = 145</c:v>
          </c:tx>
          <c:spPr>
            <a:ln w="12700">
              <a:solidFill>
                <a:srgbClr val="000080"/>
              </a:solidFill>
              <a:prstDash val="solid"/>
            </a:ln>
          </c:spPr>
          <c:marker>
            <c:symbol val="diamond"/>
            <c:size val="5"/>
            <c:spPr>
              <a:solidFill>
                <a:srgbClr val="000080"/>
              </a:solidFill>
              <a:ln>
                <a:solidFill>
                  <a:srgbClr val="000080"/>
                </a:solidFill>
                <a:prstDash val="solid"/>
              </a:ln>
            </c:spPr>
          </c:marker>
          <c:trendline>
            <c:spPr>
              <a:ln w="25400">
                <a:solidFill>
                  <a:srgbClr val="000000"/>
                </a:solidFill>
                <a:prstDash val="solid"/>
              </a:ln>
            </c:spPr>
            <c:trendlineType val="poly"/>
            <c:order val="3"/>
          </c:trendline>
          <c:cat>
            <c:numRef>
              <c:f>'DATA - MW = 15.95 (Sp Gr= 0.55)'!$A$8:$A$33</c:f>
              <c:numCache>
                <c:formatCode>General</c:formatCode>
                <c:ptCount val="26"/>
                <c:pt idx="0">
                  <c:v>0</c:v>
                </c:pt>
                <c:pt idx="1">
                  <c:v>50</c:v>
                </c:pt>
                <c:pt idx="2">
                  <c:v>100</c:v>
                </c:pt>
                <c:pt idx="3">
                  <c:v>150</c:v>
                </c:pt>
                <c:pt idx="4">
                  <c:v>200</c:v>
                </c:pt>
                <c:pt idx="5">
                  <c:v>250</c:v>
                </c:pt>
                <c:pt idx="6">
                  <c:v>300</c:v>
                </c:pt>
                <c:pt idx="7">
                  <c:v>350</c:v>
                </c:pt>
                <c:pt idx="8">
                  <c:v>400</c:v>
                </c:pt>
                <c:pt idx="9">
                  <c:v>450</c:v>
                </c:pt>
                <c:pt idx="10">
                  <c:v>500</c:v>
                </c:pt>
                <c:pt idx="11">
                  <c:v>550</c:v>
                </c:pt>
                <c:pt idx="12">
                  <c:v>600</c:v>
                </c:pt>
                <c:pt idx="13">
                  <c:v>650</c:v>
                </c:pt>
                <c:pt idx="14">
                  <c:v>700</c:v>
                </c:pt>
                <c:pt idx="15">
                  <c:v>750</c:v>
                </c:pt>
                <c:pt idx="16">
                  <c:v>800</c:v>
                </c:pt>
                <c:pt idx="17">
                  <c:v>850</c:v>
                </c:pt>
                <c:pt idx="18">
                  <c:v>900</c:v>
                </c:pt>
                <c:pt idx="19">
                  <c:v>950</c:v>
                </c:pt>
                <c:pt idx="20">
                  <c:v>1000</c:v>
                </c:pt>
                <c:pt idx="21">
                  <c:v>1050</c:v>
                </c:pt>
                <c:pt idx="22">
                  <c:v>1100</c:v>
                </c:pt>
                <c:pt idx="23">
                  <c:v>1150</c:v>
                </c:pt>
                <c:pt idx="24">
                  <c:v>1200</c:v>
                </c:pt>
                <c:pt idx="25">
                  <c:v>1250</c:v>
                </c:pt>
              </c:numCache>
            </c:numRef>
          </c:cat>
          <c:val>
            <c:numRef>
              <c:f>'DATA - MW = 15.95 (Sp Gr= 0.55)'!$C$8:$C$33</c:f>
              <c:numCache>
                <c:formatCode>General</c:formatCode>
                <c:ptCount val="26"/>
                <c:pt idx="0">
                  <c:v>1</c:v>
                </c:pt>
                <c:pt idx="1">
                  <c:v>0.99670000000000003</c:v>
                </c:pt>
                <c:pt idx="2">
                  <c:v>0.99360000000000004</c:v>
                </c:pt>
                <c:pt idx="3">
                  <c:v>0.99129999999999996</c:v>
                </c:pt>
                <c:pt idx="4">
                  <c:v>0.98809999999999998</c:v>
                </c:pt>
                <c:pt idx="5">
                  <c:v>0.98399999999999999</c:v>
                </c:pt>
                <c:pt idx="6">
                  <c:v>0.97989999999999999</c:v>
                </c:pt>
                <c:pt idx="7">
                  <c:v>0.97750000000000004</c:v>
                </c:pt>
                <c:pt idx="8">
                  <c:v>0.97439999999999993</c:v>
                </c:pt>
                <c:pt idx="9">
                  <c:v>0.97029999999999994</c:v>
                </c:pt>
                <c:pt idx="10">
                  <c:v>0.96719999999999995</c:v>
                </c:pt>
                <c:pt idx="11">
                  <c:v>0.96489999999999998</c:v>
                </c:pt>
                <c:pt idx="12">
                  <c:v>0.96079999999999999</c:v>
                </c:pt>
                <c:pt idx="13">
                  <c:v>0.9577</c:v>
                </c:pt>
                <c:pt idx="14">
                  <c:v>0.95269999999999999</c:v>
                </c:pt>
                <c:pt idx="15">
                  <c:v>0.9496</c:v>
                </c:pt>
                <c:pt idx="16">
                  <c:v>0.9476</c:v>
                </c:pt>
                <c:pt idx="17">
                  <c:v>0.94519999999999993</c:v>
                </c:pt>
                <c:pt idx="18">
                  <c:v>0.94099999999999995</c:v>
                </c:pt>
                <c:pt idx="19">
                  <c:v>0.93769999999999998</c:v>
                </c:pt>
                <c:pt idx="20">
                  <c:v>0.9355</c:v>
                </c:pt>
                <c:pt idx="21">
                  <c:v>0.93330000000000002</c:v>
                </c:pt>
                <c:pt idx="22">
                  <c:v>0.93120000000000003</c:v>
                </c:pt>
                <c:pt idx="23">
                  <c:v>0.92900000000000005</c:v>
                </c:pt>
                <c:pt idx="24">
                  <c:v>0.92600000000000005</c:v>
                </c:pt>
                <c:pt idx="25">
                  <c:v>0.92300000000000004</c:v>
                </c:pt>
              </c:numCache>
            </c:numRef>
          </c:val>
        </c:ser>
        <c:ser>
          <c:idx val="1"/>
          <c:order val="1"/>
          <c:tx>
            <c:v>T = 140</c:v>
          </c:tx>
          <c:spPr>
            <a:ln w="12700">
              <a:solidFill>
                <a:srgbClr val="FF00FF"/>
              </a:solidFill>
              <a:prstDash val="solid"/>
            </a:ln>
          </c:spPr>
          <c:marker>
            <c:symbol val="square"/>
            <c:size val="5"/>
            <c:spPr>
              <a:solidFill>
                <a:srgbClr val="FF00FF"/>
              </a:solidFill>
              <a:ln>
                <a:solidFill>
                  <a:srgbClr val="FF00FF"/>
                </a:solidFill>
                <a:prstDash val="solid"/>
              </a:ln>
            </c:spPr>
          </c:marker>
          <c:trendline>
            <c:spPr>
              <a:ln w="25400">
                <a:solidFill>
                  <a:srgbClr val="000000"/>
                </a:solidFill>
                <a:prstDash val="solid"/>
              </a:ln>
            </c:spPr>
            <c:trendlineType val="poly"/>
            <c:order val="3"/>
          </c:trendline>
          <c:cat>
            <c:numRef>
              <c:f>'DATA - MW = 15.95 (Sp Gr= 0.55)'!$A$8:$A$33</c:f>
              <c:numCache>
                <c:formatCode>General</c:formatCode>
                <c:ptCount val="26"/>
                <c:pt idx="0">
                  <c:v>0</c:v>
                </c:pt>
                <c:pt idx="1">
                  <c:v>50</c:v>
                </c:pt>
                <c:pt idx="2">
                  <c:v>100</c:v>
                </c:pt>
                <c:pt idx="3">
                  <c:v>150</c:v>
                </c:pt>
                <c:pt idx="4">
                  <c:v>200</c:v>
                </c:pt>
                <c:pt idx="5">
                  <c:v>250</c:v>
                </c:pt>
                <c:pt idx="6">
                  <c:v>300</c:v>
                </c:pt>
                <c:pt idx="7">
                  <c:v>350</c:v>
                </c:pt>
                <c:pt idx="8">
                  <c:v>400</c:v>
                </c:pt>
                <c:pt idx="9">
                  <c:v>450</c:v>
                </c:pt>
                <c:pt idx="10">
                  <c:v>500</c:v>
                </c:pt>
                <c:pt idx="11">
                  <c:v>550</c:v>
                </c:pt>
                <c:pt idx="12">
                  <c:v>600</c:v>
                </c:pt>
                <c:pt idx="13">
                  <c:v>650</c:v>
                </c:pt>
                <c:pt idx="14">
                  <c:v>700</c:v>
                </c:pt>
                <c:pt idx="15">
                  <c:v>750</c:v>
                </c:pt>
                <c:pt idx="16">
                  <c:v>800</c:v>
                </c:pt>
                <c:pt idx="17">
                  <c:v>850</c:v>
                </c:pt>
                <c:pt idx="18">
                  <c:v>900</c:v>
                </c:pt>
                <c:pt idx="19">
                  <c:v>950</c:v>
                </c:pt>
                <c:pt idx="20">
                  <c:v>1000</c:v>
                </c:pt>
                <c:pt idx="21">
                  <c:v>1050</c:v>
                </c:pt>
                <c:pt idx="22">
                  <c:v>1100</c:v>
                </c:pt>
                <c:pt idx="23">
                  <c:v>1150</c:v>
                </c:pt>
                <c:pt idx="24">
                  <c:v>1200</c:v>
                </c:pt>
                <c:pt idx="25">
                  <c:v>1250</c:v>
                </c:pt>
              </c:numCache>
            </c:numRef>
          </c:cat>
          <c:val>
            <c:numRef>
              <c:f>'DATA - MW = 15.95 (Sp Gr= 0.55)'!$D$8:$D$33</c:f>
              <c:numCache>
                <c:formatCode>General</c:formatCode>
                <c:ptCount val="26"/>
                <c:pt idx="0">
                  <c:v>1</c:v>
                </c:pt>
                <c:pt idx="1">
                  <c:v>0.99639999999999995</c:v>
                </c:pt>
                <c:pt idx="2">
                  <c:v>0.99319999999999997</c:v>
                </c:pt>
                <c:pt idx="3">
                  <c:v>0.99060000000000004</c:v>
                </c:pt>
                <c:pt idx="4">
                  <c:v>0.98719999999999997</c:v>
                </c:pt>
                <c:pt idx="5">
                  <c:v>0.98299999999999998</c:v>
                </c:pt>
                <c:pt idx="6">
                  <c:v>0.9788</c:v>
                </c:pt>
                <c:pt idx="7">
                  <c:v>0.97599999999999998</c:v>
                </c:pt>
                <c:pt idx="8">
                  <c:v>0.9728</c:v>
                </c:pt>
                <c:pt idx="9">
                  <c:v>0.96860000000000002</c:v>
                </c:pt>
                <c:pt idx="10">
                  <c:v>0.96539999999999992</c:v>
                </c:pt>
                <c:pt idx="11">
                  <c:v>0.96279999999999999</c:v>
                </c:pt>
                <c:pt idx="12">
                  <c:v>0.95860000000000001</c:v>
                </c:pt>
                <c:pt idx="13">
                  <c:v>0.95540000000000003</c:v>
                </c:pt>
                <c:pt idx="14">
                  <c:v>0.95040000000000002</c:v>
                </c:pt>
                <c:pt idx="15">
                  <c:v>0.94719999999999993</c:v>
                </c:pt>
                <c:pt idx="16">
                  <c:v>0.94519999999999993</c:v>
                </c:pt>
                <c:pt idx="17">
                  <c:v>0.94240000000000002</c:v>
                </c:pt>
                <c:pt idx="18">
                  <c:v>0.93799999999999994</c:v>
                </c:pt>
                <c:pt idx="19">
                  <c:v>0.93440000000000001</c:v>
                </c:pt>
                <c:pt idx="20">
                  <c:v>0.93199999999999994</c:v>
                </c:pt>
                <c:pt idx="21">
                  <c:v>0.92960000000000009</c:v>
                </c:pt>
                <c:pt idx="22">
                  <c:v>0.9274</c:v>
                </c:pt>
                <c:pt idx="23">
                  <c:v>0.92500000000000004</c:v>
                </c:pt>
                <c:pt idx="24">
                  <c:v>0.92200000000000004</c:v>
                </c:pt>
                <c:pt idx="25">
                  <c:v>0.91900000000000004</c:v>
                </c:pt>
              </c:numCache>
            </c:numRef>
          </c:val>
        </c:ser>
        <c:ser>
          <c:idx val="2"/>
          <c:order val="2"/>
          <c:tx>
            <c:v>T = 135</c:v>
          </c:tx>
          <c:spPr>
            <a:ln w="12700">
              <a:solidFill>
                <a:srgbClr val="FFFF00"/>
              </a:solidFill>
              <a:prstDash val="solid"/>
            </a:ln>
          </c:spPr>
          <c:marker>
            <c:symbol val="triangle"/>
            <c:size val="5"/>
            <c:spPr>
              <a:solidFill>
                <a:srgbClr val="FFFF00"/>
              </a:solidFill>
              <a:ln>
                <a:solidFill>
                  <a:srgbClr val="FFFF00"/>
                </a:solidFill>
                <a:prstDash val="solid"/>
              </a:ln>
            </c:spPr>
          </c:marker>
          <c:trendline>
            <c:spPr>
              <a:ln w="25400">
                <a:solidFill>
                  <a:srgbClr val="000000"/>
                </a:solidFill>
                <a:prstDash val="solid"/>
              </a:ln>
            </c:spPr>
            <c:trendlineType val="poly"/>
            <c:order val="3"/>
          </c:trendline>
          <c:cat>
            <c:numRef>
              <c:f>'DATA - MW = 15.95 (Sp Gr= 0.55)'!$A$8:$A$33</c:f>
              <c:numCache>
                <c:formatCode>General</c:formatCode>
                <c:ptCount val="26"/>
                <c:pt idx="0">
                  <c:v>0</c:v>
                </c:pt>
                <c:pt idx="1">
                  <c:v>50</c:v>
                </c:pt>
                <c:pt idx="2">
                  <c:v>100</c:v>
                </c:pt>
                <c:pt idx="3">
                  <c:v>150</c:v>
                </c:pt>
                <c:pt idx="4">
                  <c:v>200</c:v>
                </c:pt>
                <c:pt idx="5">
                  <c:v>250</c:v>
                </c:pt>
                <c:pt idx="6">
                  <c:v>300</c:v>
                </c:pt>
                <c:pt idx="7">
                  <c:v>350</c:v>
                </c:pt>
                <c:pt idx="8">
                  <c:v>400</c:v>
                </c:pt>
                <c:pt idx="9">
                  <c:v>450</c:v>
                </c:pt>
                <c:pt idx="10">
                  <c:v>500</c:v>
                </c:pt>
                <c:pt idx="11">
                  <c:v>550</c:v>
                </c:pt>
                <c:pt idx="12">
                  <c:v>600</c:v>
                </c:pt>
                <c:pt idx="13">
                  <c:v>650</c:v>
                </c:pt>
                <c:pt idx="14">
                  <c:v>700</c:v>
                </c:pt>
                <c:pt idx="15">
                  <c:v>750</c:v>
                </c:pt>
                <c:pt idx="16">
                  <c:v>800</c:v>
                </c:pt>
                <c:pt idx="17">
                  <c:v>850</c:v>
                </c:pt>
                <c:pt idx="18">
                  <c:v>900</c:v>
                </c:pt>
                <c:pt idx="19">
                  <c:v>950</c:v>
                </c:pt>
                <c:pt idx="20">
                  <c:v>1000</c:v>
                </c:pt>
                <c:pt idx="21">
                  <c:v>1050</c:v>
                </c:pt>
                <c:pt idx="22">
                  <c:v>1100</c:v>
                </c:pt>
                <c:pt idx="23">
                  <c:v>1150</c:v>
                </c:pt>
                <c:pt idx="24">
                  <c:v>1200</c:v>
                </c:pt>
                <c:pt idx="25">
                  <c:v>1250</c:v>
                </c:pt>
              </c:numCache>
            </c:numRef>
          </c:cat>
          <c:val>
            <c:numRef>
              <c:f>'DATA - MW = 15.95 (Sp Gr= 0.55)'!$E$8:$E$33</c:f>
              <c:numCache>
                <c:formatCode>General</c:formatCode>
                <c:ptCount val="26"/>
                <c:pt idx="0">
                  <c:v>1</c:v>
                </c:pt>
                <c:pt idx="1">
                  <c:v>0.99609999999999999</c:v>
                </c:pt>
                <c:pt idx="2">
                  <c:v>0.99280000000000002</c:v>
                </c:pt>
                <c:pt idx="3">
                  <c:v>0.9899</c:v>
                </c:pt>
                <c:pt idx="4">
                  <c:v>0.98629999999999995</c:v>
                </c:pt>
                <c:pt idx="5">
                  <c:v>0.98199999999999998</c:v>
                </c:pt>
                <c:pt idx="6">
                  <c:v>0.97770000000000001</c:v>
                </c:pt>
                <c:pt idx="7">
                  <c:v>0.97449999999999992</c:v>
                </c:pt>
                <c:pt idx="8">
                  <c:v>0.97119999999999995</c:v>
                </c:pt>
                <c:pt idx="9">
                  <c:v>0.96689999999999998</c:v>
                </c:pt>
                <c:pt idx="10">
                  <c:v>0.96360000000000001</c:v>
                </c:pt>
                <c:pt idx="11">
                  <c:v>0.9607</c:v>
                </c:pt>
                <c:pt idx="12">
                  <c:v>0.95639999999999992</c:v>
                </c:pt>
                <c:pt idx="13">
                  <c:v>0.95309999999999995</c:v>
                </c:pt>
                <c:pt idx="14">
                  <c:v>0.94809999999999994</c:v>
                </c:pt>
                <c:pt idx="15">
                  <c:v>0.94479999999999997</c:v>
                </c:pt>
                <c:pt idx="16">
                  <c:v>0.94279999999999997</c:v>
                </c:pt>
                <c:pt idx="17">
                  <c:v>0.93959999999999999</c:v>
                </c:pt>
                <c:pt idx="18">
                  <c:v>0.93499999999999994</c:v>
                </c:pt>
                <c:pt idx="19">
                  <c:v>0.93109999999999993</c:v>
                </c:pt>
                <c:pt idx="20">
                  <c:v>0.92849999999999999</c:v>
                </c:pt>
                <c:pt idx="21">
                  <c:v>0.92590000000000006</c:v>
                </c:pt>
                <c:pt idx="22">
                  <c:v>0.92360000000000009</c:v>
                </c:pt>
                <c:pt idx="23">
                  <c:v>0.92100000000000004</c:v>
                </c:pt>
                <c:pt idx="24">
                  <c:v>0.91800000000000004</c:v>
                </c:pt>
                <c:pt idx="25">
                  <c:v>0.91500000000000004</c:v>
                </c:pt>
              </c:numCache>
            </c:numRef>
          </c:val>
        </c:ser>
        <c:ser>
          <c:idx val="3"/>
          <c:order val="3"/>
          <c:tx>
            <c:v>T = 130</c:v>
          </c:tx>
          <c:spPr>
            <a:ln w="12700">
              <a:solidFill>
                <a:srgbClr val="00FFFF"/>
              </a:solidFill>
              <a:prstDash val="solid"/>
            </a:ln>
          </c:spPr>
          <c:marker>
            <c:symbol val="x"/>
            <c:size val="5"/>
            <c:spPr>
              <a:noFill/>
              <a:ln>
                <a:solidFill>
                  <a:srgbClr val="00FFFF"/>
                </a:solidFill>
                <a:prstDash val="solid"/>
              </a:ln>
            </c:spPr>
          </c:marker>
          <c:trendline>
            <c:spPr>
              <a:ln w="25400">
                <a:solidFill>
                  <a:srgbClr val="000000"/>
                </a:solidFill>
                <a:prstDash val="solid"/>
              </a:ln>
            </c:spPr>
            <c:trendlineType val="poly"/>
            <c:order val="3"/>
          </c:trendline>
          <c:cat>
            <c:numRef>
              <c:f>'DATA - MW = 15.95 (Sp Gr= 0.55)'!$A$8:$A$33</c:f>
              <c:numCache>
                <c:formatCode>General</c:formatCode>
                <c:ptCount val="26"/>
                <c:pt idx="0">
                  <c:v>0</c:v>
                </c:pt>
                <c:pt idx="1">
                  <c:v>50</c:v>
                </c:pt>
                <c:pt idx="2">
                  <c:v>100</c:v>
                </c:pt>
                <c:pt idx="3">
                  <c:v>150</c:v>
                </c:pt>
                <c:pt idx="4">
                  <c:v>200</c:v>
                </c:pt>
                <c:pt idx="5">
                  <c:v>250</c:v>
                </c:pt>
                <c:pt idx="6">
                  <c:v>300</c:v>
                </c:pt>
                <c:pt idx="7">
                  <c:v>350</c:v>
                </c:pt>
                <c:pt idx="8">
                  <c:v>400</c:v>
                </c:pt>
                <c:pt idx="9">
                  <c:v>450</c:v>
                </c:pt>
                <c:pt idx="10">
                  <c:v>500</c:v>
                </c:pt>
                <c:pt idx="11">
                  <c:v>550</c:v>
                </c:pt>
                <c:pt idx="12">
                  <c:v>600</c:v>
                </c:pt>
                <c:pt idx="13">
                  <c:v>650</c:v>
                </c:pt>
                <c:pt idx="14">
                  <c:v>700</c:v>
                </c:pt>
                <c:pt idx="15">
                  <c:v>750</c:v>
                </c:pt>
                <c:pt idx="16">
                  <c:v>800</c:v>
                </c:pt>
                <c:pt idx="17">
                  <c:v>850</c:v>
                </c:pt>
                <c:pt idx="18">
                  <c:v>900</c:v>
                </c:pt>
                <c:pt idx="19">
                  <c:v>950</c:v>
                </c:pt>
                <c:pt idx="20">
                  <c:v>1000</c:v>
                </c:pt>
                <c:pt idx="21">
                  <c:v>1050</c:v>
                </c:pt>
                <c:pt idx="22">
                  <c:v>1100</c:v>
                </c:pt>
                <c:pt idx="23">
                  <c:v>1150</c:v>
                </c:pt>
                <c:pt idx="24">
                  <c:v>1200</c:v>
                </c:pt>
                <c:pt idx="25">
                  <c:v>1250</c:v>
                </c:pt>
              </c:numCache>
            </c:numRef>
          </c:cat>
          <c:val>
            <c:numRef>
              <c:f>'DATA - MW = 15.95 (Sp Gr= 0.55)'!$F$8:$F$33</c:f>
              <c:numCache>
                <c:formatCode>General</c:formatCode>
                <c:ptCount val="26"/>
                <c:pt idx="0">
                  <c:v>1</c:v>
                </c:pt>
                <c:pt idx="1">
                  <c:v>0.99580000000000002</c:v>
                </c:pt>
                <c:pt idx="2">
                  <c:v>0.99239999999999995</c:v>
                </c:pt>
                <c:pt idx="3">
                  <c:v>0.98919999999999997</c:v>
                </c:pt>
                <c:pt idx="4">
                  <c:v>0.98539999999999994</c:v>
                </c:pt>
                <c:pt idx="5">
                  <c:v>0.98099999999999998</c:v>
                </c:pt>
                <c:pt idx="6">
                  <c:v>0.97660000000000002</c:v>
                </c:pt>
                <c:pt idx="7">
                  <c:v>0.97299999999999998</c:v>
                </c:pt>
                <c:pt idx="8">
                  <c:v>0.96960000000000002</c:v>
                </c:pt>
                <c:pt idx="9">
                  <c:v>0.96519999999999995</c:v>
                </c:pt>
                <c:pt idx="10">
                  <c:v>0.96179999999999999</c:v>
                </c:pt>
                <c:pt idx="11">
                  <c:v>0.95860000000000001</c:v>
                </c:pt>
                <c:pt idx="12">
                  <c:v>0.95419999999999994</c:v>
                </c:pt>
                <c:pt idx="13">
                  <c:v>0.95079999999999998</c:v>
                </c:pt>
                <c:pt idx="14">
                  <c:v>0.94579999999999997</c:v>
                </c:pt>
                <c:pt idx="15">
                  <c:v>0.94240000000000002</c:v>
                </c:pt>
                <c:pt idx="16">
                  <c:v>0.94040000000000001</c:v>
                </c:pt>
                <c:pt idx="17">
                  <c:v>0.93679999999999997</c:v>
                </c:pt>
                <c:pt idx="18">
                  <c:v>0.93199999999999994</c:v>
                </c:pt>
                <c:pt idx="19">
                  <c:v>0.92779999999999996</c:v>
                </c:pt>
                <c:pt idx="20">
                  <c:v>0.92499999999999993</c:v>
                </c:pt>
                <c:pt idx="21">
                  <c:v>0.92220000000000002</c:v>
                </c:pt>
                <c:pt idx="22">
                  <c:v>0.91980000000000006</c:v>
                </c:pt>
                <c:pt idx="23">
                  <c:v>0.91700000000000004</c:v>
                </c:pt>
                <c:pt idx="24">
                  <c:v>0.91400000000000003</c:v>
                </c:pt>
                <c:pt idx="25">
                  <c:v>0.91100000000000003</c:v>
                </c:pt>
              </c:numCache>
            </c:numRef>
          </c:val>
        </c:ser>
        <c:ser>
          <c:idx val="4"/>
          <c:order val="4"/>
          <c:tx>
            <c:v>T = 120</c:v>
          </c:tx>
          <c:spPr>
            <a:ln w="12700">
              <a:solidFill>
                <a:srgbClr val="800080"/>
              </a:solidFill>
              <a:prstDash val="solid"/>
            </a:ln>
          </c:spPr>
          <c:marker>
            <c:symbol val="star"/>
            <c:size val="5"/>
            <c:spPr>
              <a:noFill/>
              <a:ln>
                <a:solidFill>
                  <a:srgbClr val="800080"/>
                </a:solidFill>
                <a:prstDash val="solid"/>
              </a:ln>
            </c:spPr>
          </c:marker>
          <c:trendline>
            <c:spPr>
              <a:ln w="25400">
                <a:solidFill>
                  <a:srgbClr val="000000"/>
                </a:solidFill>
                <a:prstDash val="solid"/>
              </a:ln>
            </c:spPr>
            <c:trendlineType val="poly"/>
            <c:order val="3"/>
          </c:trendline>
          <c:cat>
            <c:numRef>
              <c:f>'DATA - MW = 15.95 (Sp Gr= 0.55)'!$A$8:$A$33</c:f>
              <c:numCache>
                <c:formatCode>General</c:formatCode>
                <c:ptCount val="26"/>
                <c:pt idx="0">
                  <c:v>0</c:v>
                </c:pt>
                <c:pt idx="1">
                  <c:v>50</c:v>
                </c:pt>
                <c:pt idx="2">
                  <c:v>100</c:v>
                </c:pt>
                <c:pt idx="3">
                  <c:v>150</c:v>
                </c:pt>
                <c:pt idx="4">
                  <c:v>200</c:v>
                </c:pt>
                <c:pt idx="5">
                  <c:v>250</c:v>
                </c:pt>
                <c:pt idx="6">
                  <c:v>300</c:v>
                </c:pt>
                <c:pt idx="7">
                  <c:v>350</c:v>
                </c:pt>
                <c:pt idx="8">
                  <c:v>400</c:v>
                </c:pt>
                <c:pt idx="9">
                  <c:v>450</c:v>
                </c:pt>
                <c:pt idx="10">
                  <c:v>500</c:v>
                </c:pt>
                <c:pt idx="11">
                  <c:v>550</c:v>
                </c:pt>
                <c:pt idx="12">
                  <c:v>600</c:v>
                </c:pt>
                <c:pt idx="13">
                  <c:v>650</c:v>
                </c:pt>
                <c:pt idx="14">
                  <c:v>700</c:v>
                </c:pt>
                <c:pt idx="15">
                  <c:v>750</c:v>
                </c:pt>
                <c:pt idx="16">
                  <c:v>800</c:v>
                </c:pt>
                <c:pt idx="17">
                  <c:v>850</c:v>
                </c:pt>
                <c:pt idx="18">
                  <c:v>900</c:v>
                </c:pt>
                <c:pt idx="19">
                  <c:v>950</c:v>
                </c:pt>
                <c:pt idx="20">
                  <c:v>1000</c:v>
                </c:pt>
                <c:pt idx="21">
                  <c:v>1050</c:v>
                </c:pt>
                <c:pt idx="22">
                  <c:v>1100</c:v>
                </c:pt>
                <c:pt idx="23">
                  <c:v>1150</c:v>
                </c:pt>
                <c:pt idx="24">
                  <c:v>1200</c:v>
                </c:pt>
                <c:pt idx="25">
                  <c:v>1250</c:v>
                </c:pt>
              </c:numCache>
            </c:numRef>
          </c:cat>
          <c:val>
            <c:numRef>
              <c:f>'DATA - MW = 15.95 (Sp Gr= 0.55)'!$H$8:$H$33</c:f>
              <c:numCache>
                <c:formatCode>General</c:formatCode>
                <c:ptCount val="26"/>
                <c:pt idx="0">
                  <c:v>1</c:v>
                </c:pt>
                <c:pt idx="1">
                  <c:v>0.99519999999999997</c:v>
                </c:pt>
                <c:pt idx="2">
                  <c:v>0.99160000000000004</c:v>
                </c:pt>
                <c:pt idx="3">
                  <c:v>0.98780000000000001</c:v>
                </c:pt>
                <c:pt idx="4">
                  <c:v>0.98360000000000003</c:v>
                </c:pt>
                <c:pt idx="5">
                  <c:v>0.97899999999999998</c:v>
                </c:pt>
                <c:pt idx="6">
                  <c:v>0.97439999999999993</c:v>
                </c:pt>
                <c:pt idx="7">
                  <c:v>0.97</c:v>
                </c:pt>
                <c:pt idx="8">
                  <c:v>0.96639999999999993</c:v>
                </c:pt>
                <c:pt idx="9">
                  <c:v>0.96179999999999999</c:v>
                </c:pt>
                <c:pt idx="10">
                  <c:v>0.95819999999999994</c:v>
                </c:pt>
                <c:pt idx="11">
                  <c:v>0.95439999999999992</c:v>
                </c:pt>
                <c:pt idx="12">
                  <c:v>0.94979999999999998</c:v>
                </c:pt>
                <c:pt idx="13">
                  <c:v>0.94620000000000004</c:v>
                </c:pt>
                <c:pt idx="14">
                  <c:v>0.94120000000000004</c:v>
                </c:pt>
                <c:pt idx="15">
                  <c:v>0.93759999999999999</c:v>
                </c:pt>
                <c:pt idx="16">
                  <c:v>0.93559999999999999</c:v>
                </c:pt>
                <c:pt idx="17">
                  <c:v>0.93120000000000003</c:v>
                </c:pt>
                <c:pt idx="18">
                  <c:v>0.92600000000000005</c:v>
                </c:pt>
                <c:pt idx="19">
                  <c:v>0.92120000000000002</c:v>
                </c:pt>
                <c:pt idx="20">
                  <c:v>0.91800000000000004</c:v>
                </c:pt>
                <c:pt idx="21">
                  <c:v>0.91480000000000006</c:v>
                </c:pt>
                <c:pt idx="22">
                  <c:v>0.91220000000000001</c:v>
                </c:pt>
                <c:pt idx="23">
                  <c:v>0.90900000000000003</c:v>
                </c:pt>
                <c:pt idx="24">
                  <c:v>0.90600000000000003</c:v>
                </c:pt>
                <c:pt idx="25">
                  <c:v>0.90300000000000002</c:v>
                </c:pt>
              </c:numCache>
            </c:numRef>
          </c:val>
        </c:ser>
        <c:ser>
          <c:idx val="5"/>
          <c:order val="5"/>
          <c:tx>
            <c:v>T = 115</c:v>
          </c:tx>
          <c:spPr>
            <a:ln w="12700">
              <a:solidFill>
                <a:srgbClr val="800000"/>
              </a:solidFill>
              <a:prstDash val="solid"/>
            </a:ln>
          </c:spPr>
          <c:marker>
            <c:symbol val="circle"/>
            <c:size val="5"/>
            <c:spPr>
              <a:solidFill>
                <a:srgbClr val="800000"/>
              </a:solidFill>
              <a:ln>
                <a:solidFill>
                  <a:srgbClr val="800000"/>
                </a:solidFill>
                <a:prstDash val="solid"/>
              </a:ln>
            </c:spPr>
          </c:marker>
          <c:trendline>
            <c:spPr>
              <a:ln w="25400">
                <a:solidFill>
                  <a:srgbClr val="000000"/>
                </a:solidFill>
                <a:prstDash val="solid"/>
              </a:ln>
            </c:spPr>
            <c:trendlineType val="poly"/>
            <c:order val="3"/>
          </c:trendline>
          <c:cat>
            <c:numRef>
              <c:f>'DATA - MW = 15.95 (Sp Gr= 0.55)'!$A$8:$A$33</c:f>
              <c:numCache>
                <c:formatCode>General</c:formatCode>
                <c:ptCount val="26"/>
                <c:pt idx="0">
                  <c:v>0</c:v>
                </c:pt>
                <c:pt idx="1">
                  <c:v>50</c:v>
                </c:pt>
                <c:pt idx="2">
                  <c:v>100</c:v>
                </c:pt>
                <c:pt idx="3">
                  <c:v>150</c:v>
                </c:pt>
                <c:pt idx="4">
                  <c:v>200</c:v>
                </c:pt>
                <c:pt idx="5">
                  <c:v>250</c:v>
                </c:pt>
                <c:pt idx="6">
                  <c:v>300</c:v>
                </c:pt>
                <c:pt idx="7">
                  <c:v>350</c:v>
                </c:pt>
                <c:pt idx="8">
                  <c:v>400</c:v>
                </c:pt>
                <c:pt idx="9">
                  <c:v>450</c:v>
                </c:pt>
                <c:pt idx="10">
                  <c:v>500</c:v>
                </c:pt>
                <c:pt idx="11">
                  <c:v>550</c:v>
                </c:pt>
                <c:pt idx="12">
                  <c:v>600</c:v>
                </c:pt>
                <c:pt idx="13">
                  <c:v>650</c:v>
                </c:pt>
                <c:pt idx="14">
                  <c:v>700</c:v>
                </c:pt>
                <c:pt idx="15">
                  <c:v>750</c:v>
                </c:pt>
                <c:pt idx="16">
                  <c:v>800</c:v>
                </c:pt>
                <c:pt idx="17">
                  <c:v>850</c:v>
                </c:pt>
                <c:pt idx="18">
                  <c:v>900</c:v>
                </c:pt>
                <c:pt idx="19">
                  <c:v>950</c:v>
                </c:pt>
                <c:pt idx="20">
                  <c:v>1000</c:v>
                </c:pt>
                <c:pt idx="21">
                  <c:v>1050</c:v>
                </c:pt>
                <c:pt idx="22">
                  <c:v>1100</c:v>
                </c:pt>
                <c:pt idx="23">
                  <c:v>1150</c:v>
                </c:pt>
                <c:pt idx="24">
                  <c:v>1200</c:v>
                </c:pt>
                <c:pt idx="25">
                  <c:v>1250</c:v>
                </c:pt>
              </c:numCache>
            </c:numRef>
          </c:cat>
          <c:val>
            <c:numRef>
              <c:f>'DATA - MW = 15.95 (Sp Gr= 0.55)'!$I$8:$I$33</c:f>
              <c:numCache>
                <c:formatCode>General</c:formatCode>
                <c:ptCount val="26"/>
                <c:pt idx="0">
                  <c:v>1</c:v>
                </c:pt>
                <c:pt idx="1">
                  <c:v>0.99490000000000001</c:v>
                </c:pt>
                <c:pt idx="2">
                  <c:v>0.99119999999999997</c:v>
                </c:pt>
                <c:pt idx="3">
                  <c:v>0.98709999999999998</c:v>
                </c:pt>
                <c:pt idx="4">
                  <c:v>0.98270000000000002</c:v>
                </c:pt>
                <c:pt idx="5">
                  <c:v>0.97799999999999998</c:v>
                </c:pt>
                <c:pt idx="6">
                  <c:v>0.97329999999999994</c:v>
                </c:pt>
                <c:pt idx="7">
                  <c:v>0.96849999999999992</c:v>
                </c:pt>
                <c:pt idx="8">
                  <c:v>0.96479999999999999</c:v>
                </c:pt>
                <c:pt idx="9">
                  <c:v>0.96009999999999995</c:v>
                </c:pt>
                <c:pt idx="10">
                  <c:v>0.95639999999999992</c:v>
                </c:pt>
                <c:pt idx="11">
                  <c:v>0.95229999999999992</c:v>
                </c:pt>
                <c:pt idx="12">
                  <c:v>0.9476</c:v>
                </c:pt>
                <c:pt idx="13">
                  <c:v>0.94390000000000007</c:v>
                </c:pt>
                <c:pt idx="14">
                  <c:v>0.93890000000000007</c:v>
                </c:pt>
                <c:pt idx="15">
                  <c:v>0.93520000000000003</c:v>
                </c:pt>
                <c:pt idx="16">
                  <c:v>0.93320000000000003</c:v>
                </c:pt>
                <c:pt idx="17">
                  <c:v>0.9284</c:v>
                </c:pt>
                <c:pt idx="18">
                  <c:v>0.92300000000000004</c:v>
                </c:pt>
                <c:pt idx="19">
                  <c:v>0.91790000000000005</c:v>
                </c:pt>
                <c:pt idx="20">
                  <c:v>0.91449999999999998</c:v>
                </c:pt>
                <c:pt idx="21">
                  <c:v>0.91110000000000002</c:v>
                </c:pt>
                <c:pt idx="22">
                  <c:v>0.90839999999999999</c:v>
                </c:pt>
                <c:pt idx="23">
                  <c:v>0.90500000000000003</c:v>
                </c:pt>
                <c:pt idx="24">
                  <c:v>0.90200000000000002</c:v>
                </c:pt>
                <c:pt idx="25">
                  <c:v>0.89900000000000002</c:v>
                </c:pt>
              </c:numCache>
            </c:numRef>
          </c:val>
        </c:ser>
        <c:ser>
          <c:idx val="6"/>
          <c:order val="6"/>
          <c:tx>
            <c:v>T = 110</c:v>
          </c:tx>
          <c:spPr>
            <a:ln w="12700">
              <a:solidFill>
                <a:srgbClr val="008080"/>
              </a:solidFill>
              <a:prstDash val="solid"/>
            </a:ln>
          </c:spPr>
          <c:marker>
            <c:symbol val="plus"/>
            <c:size val="5"/>
            <c:spPr>
              <a:noFill/>
              <a:ln>
                <a:solidFill>
                  <a:srgbClr val="008080"/>
                </a:solidFill>
                <a:prstDash val="solid"/>
              </a:ln>
            </c:spPr>
          </c:marker>
          <c:trendline>
            <c:spPr>
              <a:ln w="25400">
                <a:solidFill>
                  <a:srgbClr val="000000"/>
                </a:solidFill>
                <a:prstDash val="solid"/>
              </a:ln>
            </c:spPr>
            <c:trendlineType val="poly"/>
            <c:order val="3"/>
          </c:trendline>
          <c:cat>
            <c:numRef>
              <c:f>'DATA - MW = 15.95 (Sp Gr= 0.55)'!$A$8:$A$33</c:f>
              <c:numCache>
                <c:formatCode>General</c:formatCode>
                <c:ptCount val="26"/>
                <c:pt idx="0">
                  <c:v>0</c:v>
                </c:pt>
                <c:pt idx="1">
                  <c:v>50</c:v>
                </c:pt>
                <c:pt idx="2">
                  <c:v>100</c:v>
                </c:pt>
                <c:pt idx="3">
                  <c:v>150</c:v>
                </c:pt>
                <c:pt idx="4">
                  <c:v>200</c:v>
                </c:pt>
                <c:pt idx="5">
                  <c:v>250</c:v>
                </c:pt>
                <c:pt idx="6">
                  <c:v>300</c:v>
                </c:pt>
                <c:pt idx="7">
                  <c:v>350</c:v>
                </c:pt>
                <c:pt idx="8">
                  <c:v>400</c:v>
                </c:pt>
                <c:pt idx="9">
                  <c:v>450</c:v>
                </c:pt>
                <c:pt idx="10">
                  <c:v>500</c:v>
                </c:pt>
                <c:pt idx="11">
                  <c:v>550</c:v>
                </c:pt>
                <c:pt idx="12">
                  <c:v>600</c:v>
                </c:pt>
                <c:pt idx="13">
                  <c:v>650</c:v>
                </c:pt>
                <c:pt idx="14">
                  <c:v>700</c:v>
                </c:pt>
                <c:pt idx="15">
                  <c:v>750</c:v>
                </c:pt>
                <c:pt idx="16">
                  <c:v>800</c:v>
                </c:pt>
                <c:pt idx="17">
                  <c:v>850</c:v>
                </c:pt>
                <c:pt idx="18">
                  <c:v>900</c:v>
                </c:pt>
                <c:pt idx="19">
                  <c:v>950</c:v>
                </c:pt>
                <c:pt idx="20">
                  <c:v>1000</c:v>
                </c:pt>
                <c:pt idx="21">
                  <c:v>1050</c:v>
                </c:pt>
                <c:pt idx="22">
                  <c:v>1100</c:v>
                </c:pt>
                <c:pt idx="23">
                  <c:v>1150</c:v>
                </c:pt>
                <c:pt idx="24">
                  <c:v>1200</c:v>
                </c:pt>
                <c:pt idx="25">
                  <c:v>1250</c:v>
                </c:pt>
              </c:numCache>
            </c:numRef>
          </c:cat>
          <c:val>
            <c:numRef>
              <c:f>'DATA - MW = 15.95 (Sp Gr= 0.55)'!$J$8:$J$33</c:f>
              <c:numCache>
                <c:formatCode>General</c:formatCode>
                <c:ptCount val="26"/>
                <c:pt idx="0">
                  <c:v>1</c:v>
                </c:pt>
                <c:pt idx="1">
                  <c:v>0.99460000000000004</c:v>
                </c:pt>
                <c:pt idx="2">
                  <c:v>0.99080000000000001</c:v>
                </c:pt>
                <c:pt idx="3">
                  <c:v>0.98639999999999994</c:v>
                </c:pt>
                <c:pt idx="4">
                  <c:v>0.98180000000000001</c:v>
                </c:pt>
                <c:pt idx="5">
                  <c:v>0.97699999999999998</c:v>
                </c:pt>
                <c:pt idx="6">
                  <c:v>0.97219999999999995</c:v>
                </c:pt>
                <c:pt idx="7">
                  <c:v>0.96699999999999997</c:v>
                </c:pt>
                <c:pt idx="8">
                  <c:v>0.96319999999999995</c:v>
                </c:pt>
                <c:pt idx="9">
                  <c:v>0.95839999999999992</c:v>
                </c:pt>
                <c:pt idx="10">
                  <c:v>0.9546</c:v>
                </c:pt>
                <c:pt idx="11">
                  <c:v>0.95019999999999993</c:v>
                </c:pt>
                <c:pt idx="12">
                  <c:v>0.94539999999999991</c:v>
                </c:pt>
                <c:pt idx="13">
                  <c:v>0.94159999999999999</c:v>
                </c:pt>
                <c:pt idx="14">
                  <c:v>0.93659999999999999</c:v>
                </c:pt>
                <c:pt idx="15">
                  <c:v>0.93280000000000007</c:v>
                </c:pt>
                <c:pt idx="16">
                  <c:v>0.93080000000000007</c:v>
                </c:pt>
                <c:pt idx="17">
                  <c:v>0.92559999999999998</c:v>
                </c:pt>
                <c:pt idx="18">
                  <c:v>0.92</c:v>
                </c:pt>
                <c:pt idx="19">
                  <c:v>0.91459999999999997</c:v>
                </c:pt>
                <c:pt idx="20">
                  <c:v>0.91100000000000003</c:v>
                </c:pt>
                <c:pt idx="21">
                  <c:v>0.90739999999999998</c:v>
                </c:pt>
                <c:pt idx="22">
                  <c:v>0.90460000000000007</c:v>
                </c:pt>
                <c:pt idx="23">
                  <c:v>0.90100000000000002</c:v>
                </c:pt>
                <c:pt idx="24">
                  <c:v>0.89800000000000002</c:v>
                </c:pt>
                <c:pt idx="25">
                  <c:v>0.89500000000000002</c:v>
                </c:pt>
              </c:numCache>
            </c:numRef>
          </c:val>
        </c:ser>
        <c:ser>
          <c:idx val="7"/>
          <c:order val="7"/>
          <c:tx>
            <c:v>T = 105</c:v>
          </c:tx>
          <c:spPr>
            <a:ln w="12700">
              <a:solidFill>
                <a:srgbClr val="0000FF"/>
              </a:solidFill>
              <a:prstDash val="solid"/>
            </a:ln>
          </c:spPr>
          <c:marker>
            <c:symbol val="dot"/>
            <c:size val="5"/>
            <c:spPr>
              <a:noFill/>
              <a:ln>
                <a:solidFill>
                  <a:srgbClr val="0000FF"/>
                </a:solidFill>
                <a:prstDash val="solid"/>
              </a:ln>
            </c:spPr>
          </c:marker>
          <c:trendline>
            <c:spPr>
              <a:ln w="25400">
                <a:solidFill>
                  <a:srgbClr val="000000"/>
                </a:solidFill>
                <a:prstDash val="solid"/>
              </a:ln>
            </c:spPr>
            <c:trendlineType val="poly"/>
            <c:order val="3"/>
          </c:trendline>
          <c:cat>
            <c:numRef>
              <c:f>'DATA - MW = 15.95 (Sp Gr= 0.55)'!$A$8:$A$33</c:f>
              <c:numCache>
                <c:formatCode>General</c:formatCode>
                <c:ptCount val="26"/>
                <c:pt idx="0">
                  <c:v>0</c:v>
                </c:pt>
                <c:pt idx="1">
                  <c:v>50</c:v>
                </c:pt>
                <c:pt idx="2">
                  <c:v>100</c:v>
                </c:pt>
                <c:pt idx="3">
                  <c:v>150</c:v>
                </c:pt>
                <c:pt idx="4">
                  <c:v>200</c:v>
                </c:pt>
                <c:pt idx="5">
                  <c:v>250</c:v>
                </c:pt>
                <c:pt idx="6">
                  <c:v>300</c:v>
                </c:pt>
                <c:pt idx="7">
                  <c:v>350</c:v>
                </c:pt>
                <c:pt idx="8">
                  <c:v>400</c:v>
                </c:pt>
                <c:pt idx="9">
                  <c:v>450</c:v>
                </c:pt>
                <c:pt idx="10">
                  <c:v>500</c:v>
                </c:pt>
                <c:pt idx="11">
                  <c:v>550</c:v>
                </c:pt>
                <c:pt idx="12">
                  <c:v>600</c:v>
                </c:pt>
                <c:pt idx="13">
                  <c:v>650</c:v>
                </c:pt>
                <c:pt idx="14">
                  <c:v>700</c:v>
                </c:pt>
                <c:pt idx="15">
                  <c:v>750</c:v>
                </c:pt>
                <c:pt idx="16">
                  <c:v>800</c:v>
                </c:pt>
                <c:pt idx="17">
                  <c:v>850</c:v>
                </c:pt>
                <c:pt idx="18">
                  <c:v>900</c:v>
                </c:pt>
                <c:pt idx="19">
                  <c:v>950</c:v>
                </c:pt>
                <c:pt idx="20">
                  <c:v>1000</c:v>
                </c:pt>
                <c:pt idx="21">
                  <c:v>1050</c:v>
                </c:pt>
                <c:pt idx="22">
                  <c:v>1100</c:v>
                </c:pt>
                <c:pt idx="23">
                  <c:v>1150</c:v>
                </c:pt>
                <c:pt idx="24">
                  <c:v>1200</c:v>
                </c:pt>
                <c:pt idx="25">
                  <c:v>1250</c:v>
                </c:pt>
              </c:numCache>
            </c:numRef>
          </c:cat>
          <c:val>
            <c:numRef>
              <c:f>'DATA - MW = 15.95 (Sp Gr= 0.55)'!$K$8:$K$33</c:f>
              <c:numCache>
                <c:formatCode>General</c:formatCode>
                <c:ptCount val="26"/>
                <c:pt idx="0">
                  <c:v>1</c:v>
                </c:pt>
                <c:pt idx="1">
                  <c:v>0.99429999999999996</c:v>
                </c:pt>
                <c:pt idx="2">
                  <c:v>0.99039999999999995</c:v>
                </c:pt>
                <c:pt idx="3">
                  <c:v>0.98570000000000002</c:v>
                </c:pt>
                <c:pt idx="4">
                  <c:v>0.98089999999999999</c:v>
                </c:pt>
                <c:pt idx="5">
                  <c:v>0.97599999999999998</c:v>
                </c:pt>
                <c:pt idx="6">
                  <c:v>0.97109999999999996</c:v>
                </c:pt>
                <c:pt idx="7">
                  <c:v>0.96550000000000002</c:v>
                </c:pt>
                <c:pt idx="8">
                  <c:v>0.96160000000000001</c:v>
                </c:pt>
                <c:pt idx="9">
                  <c:v>0.95669999999999999</c:v>
                </c:pt>
                <c:pt idx="10">
                  <c:v>0.95279999999999998</c:v>
                </c:pt>
                <c:pt idx="11">
                  <c:v>0.94809999999999994</c:v>
                </c:pt>
                <c:pt idx="12">
                  <c:v>0.94319999999999993</c:v>
                </c:pt>
                <c:pt idx="13">
                  <c:v>0.93930000000000002</c:v>
                </c:pt>
                <c:pt idx="14">
                  <c:v>0.93430000000000002</c:v>
                </c:pt>
                <c:pt idx="15">
                  <c:v>0.9304</c:v>
                </c:pt>
                <c:pt idx="16">
                  <c:v>0.9284</c:v>
                </c:pt>
                <c:pt idx="17">
                  <c:v>0.92280000000000006</c:v>
                </c:pt>
                <c:pt idx="18">
                  <c:v>0.91700000000000004</c:v>
                </c:pt>
                <c:pt idx="19">
                  <c:v>0.9113</c:v>
                </c:pt>
                <c:pt idx="20">
                  <c:v>0.90749999999999997</c:v>
                </c:pt>
                <c:pt idx="21">
                  <c:v>0.90370000000000006</c:v>
                </c:pt>
                <c:pt idx="22">
                  <c:v>0.90080000000000005</c:v>
                </c:pt>
                <c:pt idx="23">
                  <c:v>0.89700000000000002</c:v>
                </c:pt>
                <c:pt idx="24">
                  <c:v>0.89400000000000002</c:v>
                </c:pt>
                <c:pt idx="25">
                  <c:v>0.89100000000000001</c:v>
                </c:pt>
              </c:numCache>
            </c:numRef>
          </c:val>
        </c:ser>
        <c:ser>
          <c:idx val="8"/>
          <c:order val="8"/>
          <c:tx>
            <c:v>T = 95</c:v>
          </c:tx>
          <c:spPr>
            <a:ln w="12700">
              <a:solidFill>
                <a:srgbClr val="00CCFF"/>
              </a:solidFill>
              <a:prstDash val="solid"/>
            </a:ln>
          </c:spPr>
          <c:marker>
            <c:symbol val="dash"/>
            <c:size val="5"/>
            <c:spPr>
              <a:noFill/>
              <a:ln>
                <a:solidFill>
                  <a:srgbClr val="00CCFF"/>
                </a:solidFill>
                <a:prstDash val="solid"/>
              </a:ln>
            </c:spPr>
          </c:marker>
          <c:trendline>
            <c:spPr>
              <a:ln w="25400">
                <a:solidFill>
                  <a:srgbClr val="000000"/>
                </a:solidFill>
                <a:prstDash val="solid"/>
              </a:ln>
            </c:spPr>
            <c:trendlineType val="poly"/>
            <c:order val="3"/>
          </c:trendline>
          <c:cat>
            <c:numRef>
              <c:f>'DATA - MW = 15.95 (Sp Gr= 0.55)'!$A$8:$A$33</c:f>
              <c:numCache>
                <c:formatCode>General</c:formatCode>
                <c:ptCount val="26"/>
                <c:pt idx="0">
                  <c:v>0</c:v>
                </c:pt>
                <c:pt idx="1">
                  <c:v>50</c:v>
                </c:pt>
                <c:pt idx="2">
                  <c:v>100</c:v>
                </c:pt>
                <c:pt idx="3">
                  <c:v>150</c:v>
                </c:pt>
                <c:pt idx="4">
                  <c:v>200</c:v>
                </c:pt>
                <c:pt idx="5">
                  <c:v>250</c:v>
                </c:pt>
                <c:pt idx="6">
                  <c:v>300</c:v>
                </c:pt>
                <c:pt idx="7">
                  <c:v>350</c:v>
                </c:pt>
                <c:pt idx="8">
                  <c:v>400</c:v>
                </c:pt>
                <c:pt idx="9">
                  <c:v>450</c:v>
                </c:pt>
                <c:pt idx="10">
                  <c:v>500</c:v>
                </c:pt>
                <c:pt idx="11">
                  <c:v>550</c:v>
                </c:pt>
                <c:pt idx="12">
                  <c:v>600</c:v>
                </c:pt>
                <c:pt idx="13">
                  <c:v>650</c:v>
                </c:pt>
                <c:pt idx="14">
                  <c:v>700</c:v>
                </c:pt>
                <c:pt idx="15">
                  <c:v>750</c:v>
                </c:pt>
                <c:pt idx="16">
                  <c:v>800</c:v>
                </c:pt>
                <c:pt idx="17">
                  <c:v>850</c:v>
                </c:pt>
                <c:pt idx="18">
                  <c:v>900</c:v>
                </c:pt>
                <c:pt idx="19">
                  <c:v>950</c:v>
                </c:pt>
                <c:pt idx="20">
                  <c:v>1000</c:v>
                </c:pt>
                <c:pt idx="21">
                  <c:v>1050</c:v>
                </c:pt>
                <c:pt idx="22">
                  <c:v>1100</c:v>
                </c:pt>
                <c:pt idx="23">
                  <c:v>1150</c:v>
                </c:pt>
                <c:pt idx="24">
                  <c:v>1200</c:v>
                </c:pt>
                <c:pt idx="25">
                  <c:v>1250</c:v>
                </c:pt>
              </c:numCache>
            </c:numRef>
          </c:cat>
          <c:val>
            <c:numRef>
              <c:f>'DATA - MW = 15.95 (Sp Gr= 0.55)'!$M$8:$M$33</c:f>
              <c:numCache>
                <c:formatCode>General</c:formatCode>
                <c:ptCount val="26"/>
                <c:pt idx="0">
                  <c:v>1</c:v>
                </c:pt>
                <c:pt idx="1">
                  <c:v>0.99380000000000002</c:v>
                </c:pt>
                <c:pt idx="2">
                  <c:v>0.98939999999999995</c:v>
                </c:pt>
                <c:pt idx="3">
                  <c:v>0.98419999999999996</c:v>
                </c:pt>
                <c:pt idx="4">
                  <c:v>0.97899999999999998</c:v>
                </c:pt>
                <c:pt idx="5">
                  <c:v>0.97399999999999998</c:v>
                </c:pt>
                <c:pt idx="6">
                  <c:v>0.96879999999999999</c:v>
                </c:pt>
                <c:pt idx="7">
                  <c:v>0.96279999999999999</c:v>
                </c:pt>
                <c:pt idx="8">
                  <c:v>0.95839999999999992</c:v>
                </c:pt>
                <c:pt idx="9">
                  <c:v>0.95339999999999991</c:v>
                </c:pt>
                <c:pt idx="10">
                  <c:v>0.94879999999999998</c:v>
                </c:pt>
                <c:pt idx="11">
                  <c:v>0.94419999999999993</c:v>
                </c:pt>
                <c:pt idx="12">
                  <c:v>0.93899999999999995</c:v>
                </c:pt>
                <c:pt idx="13">
                  <c:v>0.93480000000000008</c:v>
                </c:pt>
                <c:pt idx="14">
                  <c:v>0.92960000000000009</c:v>
                </c:pt>
                <c:pt idx="15">
                  <c:v>0.92460000000000009</c:v>
                </c:pt>
                <c:pt idx="16">
                  <c:v>0.92180000000000006</c:v>
                </c:pt>
                <c:pt idx="17">
                  <c:v>0.91620000000000001</c:v>
                </c:pt>
                <c:pt idx="18">
                  <c:v>0.91060000000000008</c:v>
                </c:pt>
                <c:pt idx="19">
                  <c:v>0.90500000000000003</c:v>
                </c:pt>
                <c:pt idx="20">
                  <c:v>0.90100000000000002</c:v>
                </c:pt>
                <c:pt idx="21">
                  <c:v>0.89680000000000004</c:v>
                </c:pt>
                <c:pt idx="22">
                  <c:v>0.89360000000000006</c:v>
                </c:pt>
                <c:pt idx="23">
                  <c:v>0.88939999999999997</c:v>
                </c:pt>
                <c:pt idx="24">
                  <c:v>0.88600000000000001</c:v>
                </c:pt>
                <c:pt idx="25">
                  <c:v>0.88239999999999996</c:v>
                </c:pt>
              </c:numCache>
            </c:numRef>
          </c:val>
        </c:ser>
        <c:ser>
          <c:idx val="9"/>
          <c:order val="9"/>
          <c:tx>
            <c:v>T = 90</c:v>
          </c:tx>
          <c:spPr>
            <a:ln w="12700">
              <a:solidFill>
                <a:srgbClr val="CCFFFF"/>
              </a:solidFill>
              <a:prstDash val="solid"/>
            </a:ln>
          </c:spPr>
          <c:marker>
            <c:symbol val="diamond"/>
            <c:size val="5"/>
            <c:spPr>
              <a:solidFill>
                <a:srgbClr val="CCFFFF"/>
              </a:solidFill>
              <a:ln>
                <a:solidFill>
                  <a:srgbClr val="CCFFFF"/>
                </a:solidFill>
                <a:prstDash val="solid"/>
              </a:ln>
            </c:spPr>
          </c:marker>
          <c:trendline>
            <c:spPr>
              <a:ln w="25400">
                <a:solidFill>
                  <a:srgbClr val="000000"/>
                </a:solidFill>
                <a:prstDash val="solid"/>
              </a:ln>
            </c:spPr>
            <c:trendlineType val="poly"/>
            <c:order val="3"/>
          </c:trendline>
          <c:cat>
            <c:numRef>
              <c:f>'DATA - MW = 15.95 (Sp Gr= 0.55)'!$A$8:$A$33</c:f>
              <c:numCache>
                <c:formatCode>General</c:formatCode>
                <c:ptCount val="26"/>
                <c:pt idx="0">
                  <c:v>0</c:v>
                </c:pt>
                <c:pt idx="1">
                  <c:v>50</c:v>
                </c:pt>
                <c:pt idx="2">
                  <c:v>100</c:v>
                </c:pt>
                <c:pt idx="3">
                  <c:v>150</c:v>
                </c:pt>
                <c:pt idx="4">
                  <c:v>200</c:v>
                </c:pt>
                <c:pt idx="5">
                  <c:v>250</c:v>
                </c:pt>
                <c:pt idx="6">
                  <c:v>300</c:v>
                </c:pt>
                <c:pt idx="7">
                  <c:v>350</c:v>
                </c:pt>
                <c:pt idx="8">
                  <c:v>400</c:v>
                </c:pt>
                <c:pt idx="9">
                  <c:v>450</c:v>
                </c:pt>
                <c:pt idx="10">
                  <c:v>500</c:v>
                </c:pt>
                <c:pt idx="11">
                  <c:v>550</c:v>
                </c:pt>
                <c:pt idx="12">
                  <c:v>600</c:v>
                </c:pt>
                <c:pt idx="13">
                  <c:v>650</c:v>
                </c:pt>
                <c:pt idx="14">
                  <c:v>700</c:v>
                </c:pt>
                <c:pt idx="15">
                  <c:v>750</c:v>
                </c:pt>
                <c:pt idx="16">
                  <c:v>800</c:v>
                </c:pt>
                <c:pt idx="17">
                  <c:v>850</c:v>
                </c:pt>
                <c:pt idx="18">
                  <c:v>900</c:v>
                </c:pt>
                <c:pt idx="19">
                  <c:v>950</c:v>
                </c:pt>
                <c:pt idx="20">
                  <c:v>1000</c:v>
                </c:pt>
                <c:pt idx="21">
                  <c:v>1050</c:v>
                </c:pt>
                <c:pt idx="22">
                  <c:v>1100</c:v>
                </c:pt>
                <c:pt idx="23">
                  <c:v>1150</c:v>
                </c:pt>
                <c:pt idx="24">
                  <c:v>1200</c:v>
                </c:pt>
                <c:pt idx="25">
                  <c:v>1250</c:v>
                </c:pt>
              </c:numCache>
            </c:numRef>
          </c:cat>
          <c:val>
            <c:numRef>
              <c:f>'DATA - MW = 15.95 (Sp Gr= 0.55)'!$N$8:$N$33</c:f>
              <c:numCache>
                <c:formatCode>General</c:formatCode>
                <c:ptCount val="26"/>
                <c:pt idx="0">
                  <c:v>1</c:v>
                </c:pt>
                <c:pt idx="1">
                  <c:v>0.99360000000000004</c:v>
                </c:pt>
                <c:pt idx="2">
                  <c:v>0.98880000000000001</c:v>
                </c:pt>
                <c:pt idx="3">
                  <c:v>0.98339999999999994</c:v>
                </c:pt>
                <c:pt idx="4">
                  <c:v>0.97799999999999998</c:v>
                </c:pt>
                <c:pt idx="5">
                  <c:v>0.97299999999999998</c:v>
                </c:pt>
                <c:pt idx="6">
                  <c:v>0.96760000000000002</c:v>
                </c:pt>
                <c:pt idx="7">
                  <c:v>0.96160000000000001</c:v>
                </c:pt>
                <c:pt idx="8">
                  <c:v>0.95679999999999998</c:v>
                </c:pt>
                <c:pt idx="9">
                  <c:v>0.95179999999999998</c:v>
                </c:pt>
                <c:pt idx="10">
                  <c:v>0.9466</c:v>
                </c:pt>
                <c:pt idx="11">
                  <c:v>0.94240000000000002</c:v>
                </c:pt>
                <c:pt idx="12">
                  <c:v>0.93699999999999994</c:v>
                </c:pt>
                <c:pt idx="13">
                  <c:v>0.9326000000000001</c:v>
                </c:pt>
                <c:pt idx="14">
                  <c:v>0.92720000000000002</c:v>
                </c:pt>
                <c:pt idx="15">
                  <c:v>0.92120000000000002</c:v>
                </c:pt>
                <c:pt idx="16">
                  <c:v>0.91760000000000008</c:v>
                </c:pt>
                <c:pt idx="17">
                  <c:v>0.91239999999999999</c:v>
                </c:pt>
                <c:pt idx="18">
                  <c:v>0.90720000000000001</c:v>
                </c:pt>
                <c:pt idx="19">
                  <c:v>0.90200000000000002</c:v>
                </c:pt>
                <c:pt idx="20">
                  <c:v>0.89800000000000002</c:v>
                </c:pt>
                <c:pt idx="21">
                  <c:v>0.89360000000000006</c:v>
                </c:pt>
                <c:pt idx="22">
                  <c:v>0.89019999999999999</c:v>
                </c:pt>
                <c:pt idx="23">
                  <c:v>0.88580000000000003</c:v>
                </c:pt>
                <c:pt idx="24">
                  <c:v>0.88200000000000001</c:v>
                </c:pt>
                <c:pt idx="25">
                  <c:v>0.87780000000000002</c:v>
                </c:pt>
              </c:numCache>
            </c:numRef>
          </c:val>
        </c:ser>
        <c:ser>
          <c:idx val="10"/>
          <c:order val="10"/>
          <c:tx>
            <c:v>T = 85</c:v>
          </c:tx>
          <c:spPr>
            <a:ln w="12700">
              <a:solidFill>
                <a:srgbClr val="CCFFCC"/>
              </a:solidFill>
              <a:prstDash val="solid"/>
            </a:ln>
          </c:spPr>
          <c:marker>
            <c:symbol val="square"/>
            <c:size val="5"/>
            <c:spPr>
              <a:solidFill>
                <a:srgbClr val="CCFFCC"/>
              </a:solidFill>
              <a:ln>
                <a:solidFill>
                  <a:srgbClr val="CCFFCC"/>
                </a:solidFill>
                <a:prstDash val="solid"/>
              </a:ln>
            </c:spPr>
          </c:marker>
          <c:trendline>
            <c:spPr>
              <a:ln w="25400">
                <a:solidFill>
                  <a:srgbClr val="000000"/>
                </a:solidFill>
                <a:prstDash val="solid"/>
              </a:ln>
            </c:spPr>
            <c:trendlineType val="poly"/>
            <c:order val="3"/>
          </c:trendline>
          <c:cat>
            <c:numRef>
              <c:f>'DATA - MW = 15.95 (Sp Gr= 0.55)'!$A$8:$A$33</c:f>
              <c:numCache>
                <c:formatCode>General</c:formatCode>
                <c:ptCount val="26"/>
                <c:pt idx="0">
                  <c:v>0</c:v>
                </c:pt>
                <c:pt idx="1">
                  <c:v>50</c:v>
                </c:pt>
                <c:pt idx="2">
                  <c:v>100</c:v>
                </c:pt>
                <c:pt idx="3">
                  <c:v>150</c:v>
                </c:pt>
                <c:pt idx="4">
                  <c:v>200</c:v>
                </c:pt>
                <c:pt idx="5">
                  <c:v>250</c:v>
                </c:pt>
                <c:pt idx="6">
                  <c:v>300</c:v>
                </c:pt>
                <c:pt idx="7">
                  <c:v>350</c:v>
                </c:pt>
                <c:pt idx="8">
                  <c:v>400</c:v>
                </c:pt>
                <c:pt idx="9">
                  <c:v>450</c:v>
                </c:pt>
                <c:pt idx="10">
                  <c:v>500</c:v>
                </c:pt>
                <c:pt idx="11">
                  <c:v>550</c:v>
                </c:pt>
                <c:pt idx="12">
                  <c:v>600</c:v>
                </c:pt>
                <c:pt idx="13">
                  <c:v>650</c:v>
                </c:pt>
                <c:pt idx="14">
                  <c:v>700</c:v>
                </c:pt>
                <c:pt idx="15">
                  <c:v>750</c:v>
                </c:pt>
                <c:pt idx="16">
                  <c:v>800</c:v>
                </c:pt>
                <c:pt idx="17">
                  <c:v>850</c:v>
                </c:pt>
                <c:pt idx="18">
                  <c:v>900</c:v>
                </c:pt>
                <c:pt idx="19">
                  <c:v>950</c:v>
                </c:pt>
                <c:pt idx="20">
                  <c:v>1000</c:v>
                </c:pt>
                <c:pt idx="21">
                  <c:v>1050</c:v>
                </c:pt>
                <c:pt idx="22">
                  <c:v>1100</c:v>
                </c:pt>
                <c:pt idx="23">
                  <c:v>1150</c:v>
                </c:pt>
                <c:pt idx="24">
                  <c:v>1200</c:v>
                </c:pt>
                <c:pt idx="25">
                  <c:v>1250</c:v>
                </c:pt>
              </c:numCache>
            </c:numRef>
          </c:cat>
          <c:val>
            <c:numRef>
              <c:f>'DATA - MW = 15.95 (Sp Gr= 0.55)'!$O$8:$O$33</c:f>
              <c:numCache>
                <c:formatCode>General</c:formatCode>
                <c:ptCount val="26"/>
                <c:pt idx="0">
                  <c:v>1</c:v>
                </c:pt>
                <c:pt idx="1">
                  <c:v>0.99339999999999995</c:v>
                </c:pt>
                <c:pt idx="2">
                  <c:v>0.98819999999999997</c:v>
                </c:pt>
                <c:pt idx="3">
                  <c:v>0.98260000000000003</c:v>
                </c:pt>
                <c:pt idx="4">
                  <c:v>0.97699999999999998</c:v>
                </c:pt>
                <c:pt idx="5">
                  <c:v>0.97199999999999998</c:v>
                </c:pt>
                <c:pt idx="6">
                  <c:v>0.96639999999999993</c:v>
                </c:pt>
                <c:pt idx="7">
                  <c:v>0.96039999999999992</c:v>
                </c:pt>
                <c:pt idx="8">
                  <c:v>0.95519999999999994</c:v>
                </c:pt>
                <c:pt idx="9">
                  <c:v>0.95019999999999993</c:v>
                </c:pt>
                <c:pt idx="10">
                  <c:v>0.94439999999999991</c:v>
                </c:pt>
                <c:pt idx="11">
                  <c:v>0.94059999999999999</c:v>
                </c:pt>
                <c:pt idx="12">
                  <c:v>0.93500000000000005</c:v>
                </c:pt>
                <c:pt idx="13">
                  <c:v>0.9304</c:v>
                </c:pt>
                <c:pt idx="14">
                  <c:v>0.92480000000000007</c:v>
                </c:pt>
                <c:pt idx="15">
                  <c:v>0.91780000000000006</c:v>
                </c:pt>
                <c:pt idx="16">
                  <c:v>0.91339999999999999</c:v>
                </c:pt>
                <c:pt idx="17">
                  <c:v>0.90860000000000007</c:v>
                </c:pt>
                <c:pt idx="18">
                  <c:v>0.90380000000000005</c:v>
                </c:pt>
                <c:pt idx="19">
                  <c:v>0.89900000000000002</c:v>
                </c:pt>
                <c:pt idx="20">
                  <c:v>0.89500000000000002</c:v>
                </c:pt>
                <c:pt idx="21">
                  <c:v>0.89039999999999997</c:v>
                </c:pt>
                <c:pt idx="22">
                  <c:v>0.88680000000000003</c:v>
                </c:pt>
                <c:pt idx="23">
                  <c:v>0.88219999999999998</c:v>
                </c:pt>
                <c:pt idx="24">
                  <c:v>0.878</c:v>
                </c:pt>
                <c:pt idx="25">
                  <c:v>0.87319999999999998</c:v>
                </c:pt>
              </c:numCache>
            </c:numRef>
          </c:val>
        </c:ser>
        <c:ser>
          <c:idx val="11"/>
          <c:order val="11"/>
          <c:tx>
            <c:v>T = 80</c:v>
          </c:tx>
          <c:spPr>
            <a:ln w="12700">
              <a:solidFill>
                <a:srgbClr val="FFFF99"/>
              </a:solidFill>
              <a:prstDash val="solid"/>
            </a:ln>
          </c:spPr>
          <c:marker>
            <c:symbol val="triangle"/>
            <c:size val="5"/>
            <c:spPr>
              <a:solidFill>
                <a:srgbClr val="FFFF99"/>
              </a:solidFill>
              <a:ln>
                <a:solidFill>
                  <a:srgbClr val="FFFF99"/>
                </a:solidFill>
                <a:prstDash val="solid"/>
              </a:ln>
            </c:spPr>
          </c:marker>
          <c:trendline>
            <c:spPr>
              <a:ln w="25400">
                <a:solidFill>
                  <a:srgbClr val="000000"/>
                </a:solidFill>
                <a:prstDash val="solid"/>
              </a:ln>
            </c:spPr>
            <c:trendlineType val="poly"/>
            <c:order val="3"/>
          </c:trendline>
          <c:cat>
            <c:numRef>
              <c:f>'DATA - MW = 15.95 (Sp Gr= 0.55)'!$A$8:$A$33</c:f>
              <c:numCache>
                <c:formatCode>General</c:formatCode>
                <c:ptCount val="26"/>
                <c:pt idx="0">
                  <c:v>0</c:v>
                </c:pt>
                <c:pt idx="1">
                  <c:v>50</c:v>
                </c:pt>
                <c:pt idx="2">
                  <c:v>100</c:v>
                </c:pt>
                <c:pt idx="3">
                  <c:v>150</c:v>
                </c:pt>
                <c:pt idx="4">
                  <c:v>200</c:v>
                </c:pt>
                <c:pt idx="5">
                  <c:v>250</c:v>
                </c:pt>
                <c:pt idx="6">
                  <c:v>300</c:v>
                </c:pt>
                <c:pt idx="7">
                  <c:v>350</c:v>
                </c:pt>
                <c:pt idx="8">
                  <c:v>400</c:v>
                </c:pt>
                <c:pt idx="9">
                  <c:v>450</c:v>
                </c:pt>
                <c:pt idx="10">
                  <c:v>500</c:v>
                </c:pt>
                <c:pt idx="11">
                  <c:v>550</c:v>
                </c:pt>
                <c:pt idx="12">
                  <c:v>600</c:v>
                </c:pt>
                <c:pt idx="13">
                  <c:v>650</c:v>
                </c:pt>
                <c:pt idx="14">
                  <c:v>700</c:v>
                </c:pt>
                <c:pt idx="15">
                  <c:v>750</c:v>
                </c:pt>
                <c:pt idx="16">
                  <c:v>800</c:v>
                </c:pt>
                <c:pt idx="17">
                  <c:v>850</c:v>
                </c:pt>
                <c:pt idx="18">
                  <c:v>900</c:v>
                </c:pt>
                <c:pt idx="19">
                  <c:v>950</c:v>
                </c:pt>
                <c:pt idx="20">
                  <c:v>1000</c:v>
                </c:pt>
                <c:pt idx="21">
                  <c:v>1050</c:v>
                </c:pt>
                <c:pt idx="22">
                  <c:v>1100</c:v>
                </c:pt>
                <c:pt idx="23">
                  <c:v>1150</c:v>
                </c:pt>
                <c:pt idx="24">
                  <c:v>1200</c:v>
                </c:pt>
                <c:pt idx="25">
                  <c:v>1250</c:v>
                </c:pt>
              </c:numCache>
            </c:numRef>
          </c:cat>
          <c:val>
            <c:numRef>
              <c:f>'DATA - MW = 15.95 (Sp Gr= 0.55)'!$P$8:$P$33</c:f>
              <c:numCache>
                <c:formatCode>General</c:formatCode>
                <c:ptCount val="26"/>
                <c:pt idx="0">
                  <c:v>1</c:v>
                </c:pt>
                <c:pt idx="1">
                  <c:v>0.99319999999999997</c:v>
                </c:pt>
                <c:pt idx="2">
                  <c:v>0.98760000000000003</c:v>
                </c:pt>
                <c:pt idx="3">
                  <c:v>0.98180000000000001</c:v>
                </c:pt>
                <c:pt idx="4">
                  <c:v>0.97599999999999998</c:v>
                </c:pt>
                <c:pt idx="5">
                  <c:v>0.97099999999999997</c:v>
                </c:pt>
                <c:pt idx="6">
                  <c:v>0.96519999999999995</c:v>
                </c:pt>
                <c:pt idx="7">
                  <c:v>0.95919999999999994</c:v>
                </c:pt>
                <c:pt idx="8">
                  <c:v>0.9536</c:v>
                </c:pt>
                <c:pt idx="9">
                  <c:v>0.9486</c:v>
                </c:pt>
                <c:pt idx="10">
                  <c:v>0.94219999999999993</c:v>
                </c:pt>
                <c:pt idx="11">
                  <c:v>0.93880000000000008</c:v>
                </c:pt>
                <c:pt idx="12">
                  <c:v>0.93300000000000005</c:v>
                </c:pt>
                <c:pt idx="13">
                  <c:v>0.92820000000000003</c:v>
                </c:pt>
                <c:pt idx="14">
                  <c:v>0.9224</c:v>
                </c:pt>
                <c:pt idx="15">
                  <c:v>0.91439999999999999</c:v>
                </c:pt>
                <c:pt idx="16">
                  <c:v>0.90920000000000001</c:v>
                </c:pt>
                <c:pt idx="17">
                  <c:v>0.90480000000000005</c:v>
                </c:pt>
                <c:pt idx="18">
                  <c:v>0.90039999999999998</c:v>
                </c:pt>
                <c:pt idx="19">
                  <c:v>0.89600000000000002</c:v>
                </c:pt>
                <c:pt idx="20">
                  <c:v>0.89200000000000002</c:v>
                </c:pt>
                <c:pt idx="21">
                  <c:v>0.88719999999999999</c:v>
                </c:pt>
                <c:pt idx="22">
                  <c:v>0.88339999999999996</c:v>
                </c:pt>
                <c:pt idx="23">
                  <c:v>0.87860000000000005</c:v>
                </c:pt>
                <c:pt idx="24">
                  <c:v>0.874</c:v>
                </c:pt>
                <c:pt idx="25">
                  <c:v>0.86860000000000004</c:v>
                </c:pt>
              </c:numCache>
            </c:numRef>
          </c:val>
        </c:ser>
        <c:ser>
          <c:idx val="12"/>
          <c:order val="12"/>
          <c:tx>
            <c:v>T = 70</c:v>
          </c:tx>
          <c:spPr>
            <a:ln w="12700">
              <a:solidFill>
                <a:srgbClr val="99CCFF"/>
              </a:solidFill>
              <a:prstDash val="solid"/>
            </a:ln>
          </c:spPr>
          <c:marker>
            <c:symbol val="x"/>
            <c:size val="5"/>
            <c:spPr>
              <a:noFill/>
              <a:ln>
                <a:solidFill>
                  <a:srgbClr val="99CCFF"/>
                </a:solidFill>
                <a:prstDash val="solid"/>
              </a:ln>
            </c:spPr>
          </c:marker>
          <c:trendline>
            <c:spPr>
              <a:ln w="25400">
                <a:solidFill>
                  <a:srgbClr val="000000"/>
                </a:solidFill>
                <a:prstDash val="solid"/>
              </a:ln>
            </c:spPr>
            <c:trendlineType val="poly"/>
            <c:order val="3"/>
          </c:trendline>
          <c:cat>
            <c:numRef>
              <c:f>'DATA - MW = 15.95 (Sp Gr= 0.55)'!$A$8:$A$33</c:f>
              <c:numCache>
                <c:formatCode>General</c:formatCode>
                <c:ptCount val="26"/>
                <c:pt idx="0">
                  <c:v>0</c:v>
                </c:pt>
                <c:pt idx="1">
                  <c:v>50</c:v>
                </c:pt>
                <c:pt idx="2">
                  <c:v>100</c:v>
                </c:pt>
                <c:pt idx="3">
                  <c:v>150</c:v>
                </c:pt>
                <c:pt idx="4">
                  <c:v>200</c:v>
                </c:pt>
                <c:pt idx="5">
                  <c:v>250</c:v>
                </c:pt>
                <c:pt idx="6">
                  <c:v>300</c:v>
                </c:pt>
                <c:pt idx="7">
                  <c:v>350</c:v>
                </c:pt>
                <c:pt idx="8">
                  <c:v>400</c:v>
                </c:pt>
                <c:pt idx="9">
                  <c:v>450</c:v>
                </c:pt>
                <c:pt idx="10">
                  <c:v>500</c:v>
                </c:pt>
                <c:pt idx="11">
                  <c:v>550</c:v>
                </c:pt>
                <c:pt idx="12">
                  <c:v>600</c:v>
                </c:pt>
                <c:pt idx="13">
                  <c:v>650</c:v>
                </c:pt>
                <c:pt idx="14">
                  <c:v>700</c:v>
                </c:pt>
                <c:pt idx="15">
                  <c:v>750</c:v>
                </c:pt>
                <c:pt idx="16">
                  <c:v>800</c:v>
                </c:pt>
                <c:pt idx="17">
                  <c:v>850</c:v>
                </c:pt>
                <c:pt idx="18">
                  <c:v>900</c:v>
                </c:pt>
                <c:pt idx="19">
                  <c:v>950</c:v>
                </c:pt>
                <c:pt idx="20">
                  <c:v>1000</c:v>
                </c:pt>
                <c:pt idx="21">
                  <c:v>1050</c:v>
                </c:pt>
                <c:pt idx="22">
                  <c:v>1100</c:v>
                </c:pt>
                <c:pt idx="23">
                  <c:v>1150</c:v>
                </c:pt>
                <c:pt idx="24">
                  <c:v>1200</c:v>
                </c:pt>
                <c:pt idx="25">
                  <c:v>1250</c:v>
                </c:pt>
              </c:numCache>
            </c:numRef>
          </c:cat>
          <c:val>
            <c:numRef>
              <c:f>'DATA - MW = 15.95 (Sp Gr= 0.55)'!$R$8:$R$33</c:f>
              <c:numCache>
                <c:formatCode>General</c:formatCode>
                <c:ptCount val="26"/>
                <c:pt idx="0">
                  <c:v>1</c:v>
                </c:pt>
                <c:pt idx="1">
                  <c:v>0.99280000000000002</c:v>
                </c:pt>
                <c:pt idx="2">
                  <c:v>0.98680000000000001</c:v>
                </c:pt>
                <c:pt idx="3">
                  <c:v>0.98099999999999998</c:v>
                </c:pt>
                <c:pt idx="4">
                  <c:v>0.9748</c:v>
                </c:pt>
                <c:pt idx="5">
                  <c:v>0.96899999999999997</c:v>
                </c:pt>
                <c:pt idx="6">
                  <c:v>0.96239999999999992</c:v>
                </c:pt>
                <c:pt idx="7">
                  <c:v>0.95639999999999992</c:v>
                </c:pt>
                <c:pt idx="8">
                  <c:v>0.95039999999999991</c:v>
                </c:pt>
                <c:pt idx="9">
                  <c:v>0.94499999999999995</c:v>
                </c:pt>
                <c:pt idx="10">
                  <c:v>0.93819999999999992</c:v>
                </c:pt>
                <c:pt idx="11">
                  <c:v>0.93440000000000001</c:v>
                </c:pt>
                <c:pt idx="12">
                  <c:v>0.92780000000000007</c:v>
                </c:pt>
                <c:pt idx="13">
                  <c:v>0.92200000000000004</c:v>
                </c:pt>
                <c:pt idx="14">
                  <c:v>0.91580000000000006</c:v>
                </c:pt>
                <c:pt idx="15">
                  <c:v>0.90720000000000001</c:v>
                </c:pt>
                <c:pt idx="16">
                  <c:v>0.90139999999999998</c:v>
                </c:pt>
                <c:pt idx="17">
                  <c:v>0.8972</c:v>
                </c:pt>
                <c:pt idx="18">
                  <c:v>0.89280000000000004</c:v>
                </c:pt>
                <c:pt idx="19">
                  <c:v>0.88800000000000001</c:v>
                </c:pt>
                <c:pt idx="20">
                  <c:v>0.88319999999999999</c:v>
                </c:pt>
                <c:pt idx="21">
                  <c:v>0.879</c:v>
                </c:pt>
                <c:pt idx="22">
                  <c:v>0.87480000000000002</c:v>
                </c:pt>
                <c:pt idx="23">
                  <c:v>0.86960000000000004</c:v>
                </c:pt>
                <c:pt idx="24">
                  <c:v>0.86399999999999999</c:v>
                </c:pt>
                <c:pt idx="25">
                  <c:v>0.85760000000000003</c:v>
                </c:pt>
              </c:numCache>
            </c:numRef>
          </c:val>
        </c:ser>
        <c:ser>
          <c:idx val="13"/>
          <c:order val="13"/>
          <c:tx>
            <c:v>T = 65</c:v>
          </c:tx>
          <c:spPr>
            <a:ln w="12700">
              <a:solidFill>
                <a:srgbClr val="FF99CC"/>
              </a:solidFill>
              <a:prstDash val="solid"/>
            </a:ln>
          </c:spPr>
          <c:marker>
            <c:symbol val="star"/>
            <c:size val="5"/>
            <c:spPr>
              <a:noFill/>
              <a:ln>
                <a:solidFill>
                  <a:srgbClr val="FF99CC"/>
                </a:solidFill>
                <a:prstDash val="solid"/>
              </a:ln>
            </c:spPr>
          </c:marker>
          <c:trendline>
            <c:spPr>
              <a:ln w="25400">
                <a:solidFill>
                  <a:srgbClr val="000000"/>
                </a:solidFill>
                <a:prstDash val="solid"/>
              </a:ln>
            </c:spPr>
            <c:trendlineType val="poly"/>
            <c:order val="3"/>
          </c:trendline>
          <c:cat>
            <c:numRef>
              <c:f>'DATA - MW = 15.95 (Sp Gr= 0.55)'!$A$8:$A$33</c:f>
              <c:numCache>
                <c:formatCode>General</c:formatCode>
                <c:ptCount val="26"/>
                <c:pt idx="0">
                  <c:v>0</c:v>
                </c:pt>
                <c:pt idx="1">
                  <c:v>50</c:v>
                </c:pt>
                <c:pt idx="2">
                  <c:v>100</c:v>
                </c:pt>
                <c:pt idx="3">
                  <c:v>150</c:v>
                </c:pt>
                <c:pt idx="4">
                  <c:v>200</c:v>
                </c:pt>
                <c:pt idx="5">
                  <c:v>250</c:v>
                </c:pt>
                <c:pt idx="6">
                  <c:v>300</c:v>
                </c:pt>
                <c:pt idx="7">
                  <c:v>350</c:v>
                </c:pt>
                <c:pt idx="8">
                  <c:v>400</c:v>
                </c:pt>
                <c:pt idx="9">
                  <c:v>450</c:v>
                </c:pt>
                <c:pt idx="10">
                  <c:v>500</c:v>
                </c:pt>
                <c:pt idx="11">
                  <c:v>550</c:v>
                </c:pt>
                <c:pt idx="12">
                  <c:v>600</c:v>
                </c:pt>
                <c:pt idx="13">
                  <c:v>650</c:v>
                </c:pt>
                <c:pt idx="14">
                  <c:v>700</c:v>
                </c:pt>
                <c:pt idx="15">
                  <c:v>750</c:v>
                </c:pt>
                <c:pt idx="16">
                  <c:v>800</c:v>
                </c:pt>
                <c:pt idx="17">
                  <c:v>850</c:v>
                </c:pt>
                <c:pt idx="18">
                  <c:v>900</c:v>
                </c:pt>
                <c:pt idx="19">
                  <c:v>950</c:v>
                </c:pt>
                <c:pt idx="20">
                  <c:v>1000</c:v>
                </c:pt>
                <c:pt idx="21">
                  <c:v>1050</c:v>
                </c:pt>
                <c:pt idx="22">
                  <c:v>1100</c:v>
                </c:pt>
                <c:pt idx="23">
                  <c:v>1150</c:v>
                </c:pt>
                <c:pt idx="24">
                  <c:v>1200</c:v>
                </c:pt>
                <c:pt idx="25">
                  <c:v>1250</c:v>
                </c:pt>
              </c:numCache>
            </c:numRef>
          </c:cat>
          <c:val>
            <c:numRef>
              <c:f>'DATA - MW = 15.95 (Sp Gr= 0.55)'!$S$8:$S$33</c:f>
              <c:numCache>
                <c:formatCode>General</c:formatCode>
                <c:ptCount val="26"/>
                <c:pt idx="0">
                  <c:v>1</c:v>
                </c:pt>
                <c:pt idx="1">
                  <c:v>0.99260000000000004</c:v>
                </c:pt>
                <c:pt idx="2">
                  <c:v>0.98660000000000003</c:v>
                </c:pt>
                <c:pt idx="3">
                  <c:v>0.98099999999999998</c:v>
                </c:pt>
                <c:pt idx="4">
                  <c:v>0.97460000000000002</c:v>
                </c:pt>
                <c:pt idx="5">
                  <c:v>0.96799999999999997</c:v>
                </c:pt>
                <c:pt idx="6">
                  <c:v>0.96079999999999999</c:v>
                </c:pt>
                <c:pt idx="7">
                  <c:v>0.95479999999999998</c:v>
                </c:pt>
                <c:pt idx="8">
                  <c:v>0.94879999999999998</c:v>
                </c:pt>
                <c:pt idx="9">
                  <c:v>0.94299999999999995</c:v>
                </c:pt>
                <c:pt idx="10">
                  <c:v>0.93640000000000001</c:v>
                </c:pt>
                <c:pt idx="11">
                  <c:v>0.93180000000000007</c:v>
                </c:pt>
                <c:pt idx="12">
                  <c:v>0.92460000000000009</c:v>
                </c:pt>
                <c:pt idx="13">
                  <c:v>0.91800000000000004</c:v>
                </c:pt>
                <c:pt idx="14">
                  <c:v>0.91160000000000008</c:v>
                </c:pt>
                <c:pt idx="15">
                  <c:v>0.90339999999999998</c:v>
                </c:pt>
                <c:pt idx="16">
                  <c:v>0.89780000000000004</c:v>
                </c:pt>
                <c:pt idx="17">
                  <c:v>0.89339999999999997</c:v>
                </c:pt>
                <c:pt idx="18">
                  <c:v>0.88860000000000006</c:v>
                </c:pt>
                <c:pt idx="19">
                  <c:v>0.88300000000000001</c:v>
                </c:pt>
                <c:pt idx="20">
                  <c:v>0.87739999999999996</c:v>
                </c:pt>
                <c:pt idx="21">
                  <c:v>0.874</c:v>
                </c:pt>
                <c:pt idx="22">
                  <c:v>0.86960000000000004</c:v>
                </c:pt>
                <c:pt idx="23">
                  <c:v>0.86419999999999997</c:v>
                </c:pt>
                <c:pt idx="24">
                  <c:v>0.85799999999999998</c:v>
                </c:pt>
                <c:pt idx="25">
                  <c:v>0.85119999999999996</c:v>
                </c:pt>
              </c:numCache>
            </c:numRef>
          </c:val>
        </c:ser>
        <c:ser>
          <c:idx val="14"/>
          <c:order val="14"/>
          <c:tx>
            <c:v>T = 60</c:v>
          </c:tx>
          <c:spPr>
            <a:ln w="12700">
              <a:solidFill>
                <a:srgbClr val="CC99FF"/>
              </a:solidFill>
              <a:prstDash val="solid"/>
            </a:ln>
          </c:spPr>
          <c:marker>
            <c:symbol val="circle"/>
            <c:size val="5"/>
            <c:spPr>
              <a:solidFill>
                <a:srgbClr val="CC99FF"/>
              </a:solidFill>
              <a:ln>
                <a:solidFill>
                  <a:srgbClr val="CC99FF"/>
                </a:solidFill>
                <a:prstDash val="solid"/>
              </a:ln>
            </c:spPr>
          </c:marker>
          <c:trendline>
            <c:spPr>
              <a:ln w="25400">
                <a:solidFill>
                  <a:srgbClr val="000000"/>
                </a:solidFill>
                <a:prstDash val="solid"/>
              </a:ln>
            </c:spPr>
            <c:trendlineType val="poly"/>
            <c:order val="3"/>
          </c:trendline>
          <c:cat>
            <c:numRef>
              <c:f>'DATA - MW = 15.95 (Sp Gr= 0.55)'!$A$8:$A$33</c:f>
              <c:numCache>
                <c:formatCode>General</c:formatCode>
                <c:ptCount val="26"/>
                <c:pt idx="0">
                  <c:v>0</c:v>
                </c:pt>
                <c:pt idx="1">
                  <c:v>50</c:v>
                </c:pt>
                <c:pt idx="2">
                  <c:v>100</c:v>
                </c:pt>
                <c:pt idx="3">
                  <c:v>150</c:v>
                </c:pt>
                <c:pt idx="4">
                  <c:v>200</c:v>
                </c:pt>
                <c:pt idx="5">
                  <c:v>250</c:v>
                </c:pt>
                <c:pt idx="6">
                  <c:v>300</c:v>
                </c:pt>
                <c:pt idx="7">
                  <c:v>350</c:v>
                </c:pt>
                <c:pt idx="8">
                  <c:v>400</c:v>
                </c:pt>
                <c:pt idx="9">
                  <c:v>450</c:v>
                </c:pt>
                <c:pt idx="10">
                  <c:v>500</c:v>
                </c:pt>
                <c:pt idx="11">
                  <c:v>550</c:v>
                </c:pt>
                <c:pt idx="12">
                  <c:v>600</c:v>
                </c:pt>
                <c:pt idx="13">
                  <c:v>650</c:v>
                </c:pt>
                <c:pt idx="14">
                  <c:v>700</c:v>
                </c:pt>
                <c:pt idx="15">
                  <c:v>750</c:v>
                </c:pt>
                <c:pt idx="16">
                  <c:v>800</c:v>
                </c:pt>
                <c:pt idx="17">
                  <c:v>850</c:v>
                </c:pt>
                <c:pt idx="18">
                  <c:v>900</c:v>
                </c:pt>
                <c:pt idx="19">
                  <c:v>950</c:v>
                </c:pt>
                <c:pt idx="20">
                  <c:v>1000</c:v>
                </c:pt>
                <c:pt idx="21">
                  <c:v>1050</c:v>
                </c:pt>
                <c:pt idx="22">
                  <c:v>1100</c:v>
                </c:pt>
                <c:pt idx="23">
                  <c:v>1150</c:v>
                </c:pt>
                <c:pt idx="24">
                  <c:v>1200</c:v>
                </c:pt>
                <c:pt idx="25">
                  <c:v>1250</c:v>
                </c:pt>
              </c:numCache>
            </c:numRef>
          </c:cat>
          <c:val>
            <c:numRef>
              <c:f>'DATA - MW = 15.95 (Sp Gr= 0.55)'!$T$8:$T$33</c:f>
              <c:numCache>
                <c:formatCode>General</c:formatCode>
                <c:ptCount val="26"/>
                <c:pt idx="0">
                  <c:v>1</c:v>
                </c:pt>
                <c:pt idx="1">
                  <c:v>0.99239999999999995</c:v>
                </c:pt>
                <c:pt idx="2">
                  <c:v>0.98639999999999994</c:v>
                </c:pt>
                <c:pt idx="3">
                  <c:v>0.98099999999999998</c:v>
                </c:pt>
                <c:pt idx="4">
                  <c:v>0.97439999999999993</c:v>
                </c:pt>
                <c:pt idx="5">
                  <c:v>0.96699999999999997</c:v>
                </c:pt>
                <c:pt idx="6">
                  <c:v>0.95919999999999994</c:v>
                </c:pt>
                <c:pt idx="7">
                  <c:v>0.95319999999999994</c:v>
                </c:pt>
                <c:pt idx="8">
                  <c:v>0.94719999999999993</c:v>
                </c:pt>
                <c:pt idx="9">
                  <c:v>0.94100000000000006</c:v>
                </c:pt>
                <c:pt idx="10">
                  <c:v>0.93459999999999999</c:v>
                </c:pt>
                <c:pt idx="11">
                  <c:v>0.92920000000000003</c:v>
                </c:pt>
                <c:pt idx="12">
                  <c:v>0.9214</c:v>
                </c:pt>
                <c:pt idx="13">
                  <c:v>0.91400000000000003</c:v>
                </c:pt>
                <c:pt idx="14">
                  <c:v>0.90739999999999998</c:v>
                </c:pt>
                <c:pt idx="15">
                  <c:v>0.89960000000000007</c:v>
                </c:pt>
                <c:pt idx="16">
                  <c:v>0.89419999999999999</c:v>
                </c:pt>
                <c:pt idx="17">
                  <c:v>0.88960000000000006</c:v>
                </c:pt>
                <c:pt idx="18">
                  <c:v>0.88439999999999996</c:v>
                </c:pt>
                <c:pt idx="19">
                  <c:v>0.878</c:v>
                </c:pt>
                <c:pt idx="20">
                  <c:v>0.87160000000000004</c:v>
                </c:pt>
                <c:pt idx="21">
                  <c:v>0.86899999999999999</c:v>
                </c:pt>
                <c:pt idx="22">
                  <c:v>0.86439999999999995</c:v>
                </c:pt>
                <c:pt idx="23">
                  <c:v>0.85880000000000001</c:v>
                </c:pt>
                <c:pt idx="24">
                  <c:v>0.85199999999999998</c:v>
                </c:pt>
                <c:pt idx="25">
                  <c:v>0.8448</c:v>
                </c:pt>
              </c:numCache>
            </c:numRef>
          </c:val>
        </c:ser>
        <c:ser>
          <c:idx val="15"/>
          <c:order val="15"/>
          <c:tx>
            <c:v>T = 55</c:v>
          </c:tx>
          <c:spPr>
            <a:ln w="12700">
              <a:solidFill>
                <a:srgbClr val="FFCC99"/>
              </a:solidFill>
              <a:prstDash val="solid"/>
            </a:ln>
          </c:spPr>
          <c:marker>
            <c:symbol val="plus"/>
            <c:size val="5"/>
            <c:spPr>
              <a:noFill/>
              <a:ln>
                <a:solidFill>
                  <a:srgbClr val="FFCC99"/>
                </a:solidFill>
                <a:prstDash val="solid"/>
              </a:ln>
            </c:spPr>
          </c:marker>
          <c:trendline>
            <c:spPr>
              <a:ln w="25400">
                <a:solidFill>
                  <a:srgbClr val="000000"/>
                </a:solidFill>
                <a:prstDash val="solid"/>
              </a:ln>
            </c:spPr>
            <c:trendlineType val="poly"/>
            <c:order val="3"/>
          </c:trendline>
          <c:cat>
            <c:numRef>
              <c:f>'DATA - MW = 15.95 (Sp Gr= 0.55)'!$A$8:$A$33</c:f>
              <c:numCache>
                <c:formatCode>General</c:formatCode>
                <c:ptCount val="26"/>
                <c:pt idx="0">
                  <c:v>0</c:v>
                </c:pt>
                <c:pt idx="1">
                  <c:v>50</c:v>
                </c:pt>
                <c:pt idx="2">
                  <c:v>100</c:v>
                </c:pt>
                <c:pt idx="3">
                  <c:v>150</c:v>
                </c:pt>
                <c:pt idx="4">
                  <c:v>200</c:v>
                </c:pt>
                <c:pt idx="5">
                  <c:v>250</c:v>
                </c:pt>
                <c:pt idx="6">
                  <c:v>300</c:v>
                </c:pt>
                <c:pt idx="7">
                  <c:v>350</c:v>
                </c:pt>
                <c:pt idx="8">
                  <c:v>400</c:v>
                </c:pt>
                <c:pt idx="9">
                  <c:v>450</c:v>
                </c:pt>
                <c:pt idx="10">
                  <c:v>500</c:v>
                </c:pt>
                <c:pt idx="11">
                  <c:v>550</c:v>
                </c:pt>
                <c:pt idx="12">
                  <c:v>600</c:v>
                </c:pt>
                <c:pt idx="13">
                  <c:v>650</c:v>
                </c:pt>
                <c:pt idx="14">
                  <c:v>700</c:v>
                </c:pt>
                <c:pt idx="15">
                  <c:v>750</c:v>
                </c:pt>
                <c:pt idx="16">
                  <c:v>800</c:v>
                </c:pt>
                <c:pt idx="17">
                  <c:v>850</c:v>
                </c:pt>
                <c:pt idx="18">
                  <c:v>900</c:v>
                </c:pt>
                <c:pt idx="19">
                  <c:v>950</c:v>
                </c:pt>
                <c:pt idx="20">
                  <c:v>1000</c:v>
                </c:pt>
                <c:pt idx="21">
                  <c:v>1050</c:v>
                </c:pt>
                <c:pt idx="22">
                  <c:v>1100</c:v>
                </c:pt>
                <c:pt idx="23">
                  <c:v>1150</c:v>
                </c:pt>
                <c:pt idx="24">
                  <c:v>1200</c:v>
                </c:pt>
                <c:pt idx="25">
                  <c:v>1250</c:v>
                </c:pt>
              </c:numCache>
            </c:numRef>
          </c:cat>
          <c:val>
            <c:numRef>
              <c:f>'DATA - MW = 15.95 (Sp Gr= 0.55)'!$U$8:$U$33</c:f>
              <c:numCache>
                <c:formatCode>General</c:formatCode>
                <c:ptCount val="26"/>
                <c:pt idx="0">
                  <c:v>1</c:v>
                </c:pt>
                <c:pt idx="1">
                  <c:v>0.99219999999999997</c:v>
                </c:pt>
                <c:pt idx="2">
                  <c:v>0.98619999999999997</c:v>
                </c:pt>
                <c:pt idx="3">
                  <c:v>0.98099999999999998</c:v>
                </c:pt>
                <c:pt idx="4">
                  <c:v>0.97419999999999995</c:v>
                </c:pt>
                <c:pt idx="5">
                  <c:v>0.96599999999999997</c:v>
                </c:pt>
                <c:pt idx="6">
                  <c:v>0.95760000000000001</c:v>
                </c:pt>
                <c:pt idx="7">
                  <c:v>0.9516</c:v>
                </c:pt>
                <c:pt idx="8">
                  <c:v>0.9456</c:v>
                </c:pt>
                <c:pt idx="9">
                  <c:v>0.93900000000000006</c:v>
                </c:pt>
                <c:pt idx="10">
                  <c:v>0.93280000000000007</c:v>
                </c:pt>
                <c:pt idx="11">
                  <c:v>0.92660000000000009</c:v>
                </c:pt>
                <c:pt idx="12">
                  <c:v>0.91820000000000002</c:v>
                </c:pt>
                <c:pt idx="13">
                  <c:v>0.91</c:v>
                </c:pt>
                <c:pt idx="14">
                  <c:v>0.9032</c:v>
                </c:pt>
                <c:pt idx="15">
                  <c:v>0.89580000000000004</c:v>
                </c:pt>
                <c:pt idx="16">
                  <c:v>0.89060000000000006</c:v>
                </c:pt>
                <c:pt idx="17">
                  <c:v>0.88580000000000003</c:v>
                </c:pt>
                <c:pt idx="18">
                  <c:v>0.88019999999999998</c:v>
                </c:pt>
                <c:pt idx="19">
                  <c:v>0.873</c:v>
                </c:pt>
                <c:pt idx="20">
                  <c:v>0.86580000000000001</c:v>
                </c:pt>
                <c:pt idx="21">
                  <c:v>0.86399999999999999</c:v>
                </c:pt>
                <c:pt idx="22">
                  <c:v>0.85919999999999996</c:v>
                </c:pt>
                <c:pt idx="23">
                  <c:v>0.85339999999999994</c:v>
                </c:pt>
                <c:pt idx="24">
                  <c:v>0.84599999999999997</c:v>
                </c:pt>
                <c:pt idx="25">
                  <c:v>0.83839999999999992</c:v>
                </c:pt>
              </c:numCache>
            </c:numRef>
          </c:val>
        </c:ser>
        <c:ser>
          <c:idx val="16"/>
          <c:order val="16"/>
          <c:tx>
            <c:v>T = 45</c:v>
          </c:tx>
          <c:spPr>
            <a:ln w="12700">
              <a:solidFill>
                <a:srgbClr val="3366FF"/>
              </a:solidFill>
              <a:prstDash val="solid"/>
            </a:ln>
          </c:spPr>
          <c:marker>
            <c:symbol val="dot"/>
            <c:size val="5"/>
            <c:spPr>
              <a:noFill/>
              <a:ln>
                <a:solidFill>
                  <a:srgbClr val="3366FF"/>
                </a:solidFill>
                <a:prstDash val="solid"/>
              </a:ln>
            </c:spPr>
          </c:marker>
          <c:trendline>
            <c:spPr>
              <a:ln w="25400">
                <a:solidFill>
                  <a:srgbClr val="000000"/>
                </a:solidFill>
                <a:prstDash val="solid"/>
              </a:ln>
            </c:spPr>
            <c:trendlineType val="poly"/>
            <c:order val="3"/>
          </c:trendline>
          <c:cat>
            <c:numRef>
              <c:f>'DATA - MW = 15.95 (Sp Gr= 0.55)'!$A$8:$A$33</c:f>
              <c:numCache>
                <c:formatCode>General</c:formatCode>
                <c:ptCount val="26"/>
                <c:pt idx="0">
                  <c:v>0</c:v>
                </c:pt>
                <c:pt idx="1">
                  <c:v>50</c:v>
                </c:pt>
                <c:pt idx="2">
                  <c:v>100</c:v>
                </c:pt>
                <c:pt idx="3">
                  <c:v>150</c:v>
                </c:pt>
                <c:pt idx="4">
                  <c:v>200</c:v>
                </c:pt>
                <c:pt idx="5">
                  <c:v>250</c:v>
                </c:pt>
                <c:pt idx="6">
                  <c:v>300</c:v>
                </c:pt>
                <c:pt idx="7">
                  <c:v>350</c:v>
                </c:pt>
                <c:pt idx="8">
                  <c:v>400</c:v>
                </c:pt>
                <c:pt idx="9">
                  <c:v>450</c:v>
                </c:pt>
                <c:pt idx="10">
                  <c:v>500</c:v>
                </c:pt>
                <c:pt idx="11">
                  <c:v>550</c:v>
                </c:pt>
                <c:pt idx="12">
                  <c:v>600</c:v>
                </c:pt>
                <c:pt idx="13">
                  <c:v>650</c:v>
                </c:pt>
                <c:pt idx="14">
                  <c:v>700</c:v>
                </c:pt>
                <c:pt idx="15">
                  <c:v>750</c:v>
                </c:pt>
                <c:pt idx="16">
                  <c:v>800</c:v>
                </c:pt>
                <c:pt idx="17">
                  <c:v>850</c:v>
                </c:pt>
                <c:pt idx="18">
                  <c:v>900</c:v>
                </c:pt>
                <c:pt idx="19">
                  <c:v>950</c:v>
                </c:pt>
                <c:pt idx="20">
                  <c:v>1000</c:v>
                </c:pt>
                <c:pt idx="21">
                  <c:v>1050</c:v>
                </c:pt>
                <c:pt idx="22">
                  <c:v>1100</c:v>
                </c:pt>
                <c:pt idx="23">
                  <c:v>1150</c:v>
                </c:pt>
                <c:pt idx="24">
                  <c:v>1200</c:v>
                </c:pt>
                <c:pt idx="25">
                  <c:v>1250</c:v>
                </c:pt>
              </c:numCache>
            </c:numRef>
          </c:cat>
          <c:val>
            <c:numRef>
              <c:f>'DATA - MW = 15.95 (Sp Gr= 0.55)'!$W$8:$W$33</c:f>
              <c:numCache>
                <c:formatCode>General</c:formatCode>
                <c:ptCount val="26"/>
                <c:pt idx="0">
                  <c:v>1</c:v>
                </c:pt>
                <c:pt idx="1">
                  <c:v>0.99160000000000004</c:v>
                </c:pt>
                <c:pt idx="2">
                  <c:v>0.98599999999999999</c:v>
                </c:pt>
                <c:pt idx="3">
                  <c:v>0.98080000000000001</c:v>
                </c:pt>
                <c:pt idx="4">
                  <c:v>0.97319999999999995</c:v>
                </c:pt>
                <c:pt idx="5">
                  <c:v>0.96399999999999997</c:v>
                </c:pt>
                <c:pt idx="6">
                  <c:v>0.95479999999999998</c:v>
                </c:pt>
                <c:pt idx="7">
                  <c:v>0.94839999999999991</c:v>
                </c:pt>
                <c:pt idx="8">
                  <c:v>0.94240000000000002</c:v>
                </c:pt>
                <c:pt idx="9">
                  <c:v>0.93500000000000005</c:v>
                </c:pt>
                <c:pt idx="10">
                  <c:v>0.92860000000000009</c:v>
                </c:pt>
                <c:pt idx="11">
                  <c:v>0.92080000000000006</c:v>
                </c:pt>
                <c:pt idx="12">
                  <c:v>0.91200000000000003</c:v>
                </c:pt>
                <c:pt idx="13">
                  <c:v>0.9032</c:v>
                </c:pt>
                <c:pt idx="14">
                  <c:v>0.89600000000000002</c:v>
                </c:pt>
                <c:pt idx="15">
                  <c:v>0.88880000000000003</c:v>
                </c:pt>
                <c:pt idx="16">
                  <c:v>0.88360000000000005</c:v>
                </c:pt>
                <c:pt idx="17">
                  <c:v>0.87780000000000002</c:v>
                </c:pt>
                <c:pt idx="18">
                  <c:v>0.87119999999999997</c:v>
                </c:pt>
                <c:pt idx="19">
                  <c:v>0.86280000000000001</c:v>
                </c:pt>
                <c:pt idx="20">
                  <c:v>0.85519999999999996</c:v>
                </c:pt>
                <c:pt idx="21">
                  <c:v>0.85319999999999996</c:v>
                </c:pt>
                <c:pt idx="22">
                  <c:v>0.84799999999999998</c:v>
                </c:pt>
                <c:pt idx="23">
                  <c:v>0.84179999999999999</c:v>
                </c:pt>
                <c:pt idx="24">
                  <c:v>0.83379999999999999</c:v>
                </c:pt>
                <c:pt idx="25">
                  <c:v>0.82579999999999998</c:v>
                </c:pt>
              </c:numCache>
            </c:numRef>
          </c:val>
        </c:ser>
        <c:ser>
          <c:idx val="17"/>
          <c:order val="17"/>
          <c:tx>
            <c:v>T = 40</c:v>
          </c:tx>
          <c:spPr>
            <a:ln w="12700">
              <a:solidFill>
                <a:srgbClr val="33CCCC"/>
              </a:solidFill>
              <a:prstDash val="solid"/>
            </a:ln>
          </c:spPr>
          <c:marker>
            <c:symbol val="dash"/>
            <c:size val="5"/>
            <c:spPr>
              <a:noFill/>
              <a:ln>
                <a:solidFill>
                  <a:srgbClr val="33CCCC"/>
                </a:solidFill>
                <a:prstDash val="solid"/>
              </a:ln>
            </c:spPr>
          </c:marker>
          <c:trendline>
            <c:spPr>
              <a:ln w="25400">
                <a:solidFill>
                  <a:srgbClr val="000000"/>
                </a:solidFill>
                <a:prstDash val="solid"/>
              </a:ln>
            </c:spPr>
            <c:trendlineType val="poly"/>
            <c:order val="3"/>
          </c:trendline>
          <c:cat>
            <c:numRef>
              <c:f>'DATA - MW = 15.95 (Sp Gr= 0.55)'!$A$8:$A$33</c:f>
              <c:numCache>
                <c:formatCode>General</c:formatCode>
                <c:ptCount val="26"/>
                <c:pt idx="0">
                  <c:v>0</c:v>
                </c:pt>
                <c:pt idx="1">
                  <c:v>50</c:v>
                </c:pt>
                <c:pt idx="2">
                  <c:v>100</c:v>
                </c:pt>
                <c:pt idx="3">
                  <c:v>150</c:v>
                </c:pt>
                <c:pt idx="4">
                  <c:v>200</c:v>
                </c:pt>
                <c:pt idx="5">
                  <c:v>250</c:v>
                </c:pt>
                <c:pt idx="6">
                  <c:v>300</c:v>
                </c:pt>
                <c:pt idx="7">
                  <c:v>350</c:v>
                </c:pt>
                <c:pt idx="8">
                  <c:v>400</c:v>
                </c:pt>
                <c:pt idx="9">
                  <c:v>450</c:v>
                </c:pt>
                <c:pt idx="10">
                  <c:v>500</c:v>
                </c:pt>
                <c:pt idx="11">
                  <c:v>550</c:v>
                </c:pt>
                <c:pt idx="12">
                  <c:v>600</c:v>
                </c:pt>
                <c:pt idx="13">
                  <c:v>650</c:v>
                </c:pt>
                <c:pt idx="14">
                  <c:v>700</c:v>
                </c:pt>
                <c:pt idx="15">
                  <c:v>750</c:v>
                </c:pt>
                <c:pt idx="16">
                  <c:v>800</c:v>
                </c:pt>
                <c:pt idx="17">
                  <c:v>850</c:v>
                </c:pt>
                <c:pt idx="18">
                  <c:v>900</c:v>
                </c:pt>
                <c:pt idx="19">
                  <c:v>950</c:v>
                </c:pt>
                <c:pt idx="20">
                  <c:v>1000</c:v>
                </c:pt>
                <c:pt idx="21">
                  <c:v>1050</c:v>
                </c:pt>
                <c:pt idx="22">
                  <c:v>1100</c:v>
                </c:pt>
                <c:pt idx="23">
                  <c:v>1150</c:v>
                </c:pt>
                <c:pt idx="24">
                  <c:v>1200</c:v>
                </c:pt>
                <c:pt idx="25">
                  <c:v>1250</c:v>
                </c:pt>
              </c:numCache>
            </c:numRef>
          </c:cat>
          <c:val>
            <c:numRef>
              <c:f>'DATA - MW = 15.95 (Sp Gr= 0.55)'!$X$8:$X$33</c:f>
              <c:numCache>
                <c:formatCode>General</c:formatCode>
                <c:ptCount val="26"/>
                <c:pt idx="0">
                  <c:v>1</c:v>
                </c:pt>
                <c:pt idx="1">
                  <c:v>0.99119999999999997</c:v>
                </c:pt>
                <c:pt idx="2">
                  <c:v>0.98599999999999999</c:v>
                </c:pt>
                <c:pt idx="3">
                  <c:v>0.98060000000000003</c:v>
                </c:pt>
                <c:pt idx="4">
                  <c:v>0.97239999999999993</c:v>
                </c:pt>
                <c:pt idx="5">
                  <c:v>0.96299999999999997</c:v>
                </c:pt>
                <c:pt idx="6">
                  <c:v>0.9536</c:v>
                </c:pt>
                <c:pt idx="7">
                  <c:v>0.94679999999999997</c:v>
                </c:pt>
                <c:pt idx="8">
                  <c:v>0.94079999999999997</c:v>
                </c:pt>
                <c:pt idx="9">
                  <c:v>0.93300000000000005</c:v>
                </c:pt>
                <c:pt idx="10">
                  <c:v>0.92620000000000002</c:v>
                </c:pt>
                <c:pt idx="11">
                  <c:v>0.91760000000000008</c:v>
                </c:pt>
                <c:pt idx="12">
                  <c:v>0.90900000000000003</c:v>
                </c:pt>
                <c:pt idx="13">
                  <c:v>0.90039999999999998</c:v>
                </c:pt>
                <c:pt idx="14">
                  <c:v>0.89300000000000002</c:v>
                </c:pt>
                <c:pt idx="15">
                  <c:v>0.88560000000000005</c:v>
                </c:pt>
                <c:pt idx="16">
                  <c:v>0.88019999999999998</c:v>
                </c:pt>
                <c:pt idx="17">
                  <c:v>0.87360000000000004</c:v>
                </c:pt>
                <c:pt idx="18">
                  <c:v>0.86639999999999995</c:v>
                </c:pt>
                <c:pt idx="19">
                  <c:v>0.85760000000000003</c:v>
                </c:pt>
                <c:pt idx="20">
                  <c:v>0.85039999999999993</c:v>
                </c:pt>
                <c:pt idx="21">
                  <c:v>0.84739999999999993</c:v>
                </c:pt>
                <c:pt idx="22">
                  <c:v>0.84199999999999997</c:v>
                </c:pt>
                <c:pt idx="23">
                  <c:v>0.83560000000000001</c:v>
                </c:pt>
                <c:pt idx="24">
                  <c:v>0.8276</c:v>
                </c:pt>
                <c:pt idx="25">
                  <c:v>0.8196</c:v>
                </c:pt>
              </c:numCache>
            </c:numRef>
          </c:val>
        </c:ser>
        <c:ser>
          <c:idx val="18"/>
          <c:order val="18"/>
          <c:tx>
            <c:v>T = 35</c:v>
          </c:tx>
          <c:spPr>
            <a:ln w="12700">
              <a:solidFill>
                <a:srgbClr val="99CC00"/>
              </a:solidFill>
              <a:prstDash val="solid"/>
            </a:ln>
          </c:spPr>
          <c:marker>
            <c:symbol val="diamond"/>
            <c:size val="5"/>
            <c:spPr>
              <a:solidFill>
                <a:srgbClr val="99CC00"/>
              </a:solidFill>
              <a:ln>
                <a:solidFill>
                  <a:srgbClr val="99CC00"/>
                </a:solidFill>
                <a:prstDash val="solid"/>
              </a:ln>
            </c:spPr>
          </c:marker>
          <c:trendline>
            <c:spPr>
              <a:ln w="25400">
                <a:solidFill>
                  <a:srgbClr val="000000"/>
                </a:solidFill>
                <a:prstDash val="solid"/>
              </a:ln>
            </c:spPr>
            <c:trendlineType val="poly"/>
            <c:order val="3"/>
          </c:trendline>
          <c:cat>
            <c:numRef>
              <c:f>'DATA - MW = 15.95 (Sp Gr= 0.55)'!$A$8:$A$33</c:f>
              <c:numCache>
                <c:formatCode>General</c:formatCode>
                <c:ptCount val="26"/>
                <c:pt idx="0">
                  <c:v>0</c:v>
                </c:pt>
                <c:pt idx="1">
                  <c:v>50</c:v>
                </c:pt>
                <c:pt idx="2">
                  <c:v>100</c:v>
                </c:pt>
                <c:pt idx="3">
                  <c:v>150</c:v>
                </c:pt>
                <c:pt idx="4">
                  <c:v>200</c:v>
                </c:pt>
                <c:pt idx="5">
                  <c:v>250</c:v>
                </c:pt>
                <c:pt idx="6">
                  <c:v>300</c:v>
                </c:pt>
                <c:pt idx="7">
                  <c:v>350</c:v>
                </c:pt>
                <c:pt idx="8">
                  <c:v>400</c:v>
                </c:pt>
                <c:pt idx="9">
                  <c:v>450</c:v>
                </c:pt>
                <c:pt idx="10">
                  <c:v>500</c:v>
                </c:pt>
                <c:pt idx="11">
                  <c:v>550</c:v>
                </c:pt>
                <c:pt idx="12">
                  <c:v>600</c:v>
                </c:pt>
                <c:pt idx="13">
                  <c:v>650</c:v>
                </c:pt>
                <c:pt idx="14">
                  <c:v>700</c:v>
                </c:pt>
                <c:pt idx="15">
                  <c:v>750</c:v>
                </c:pt>
                <c:pt idx="16">
                  <c:v>800</c:v>
                </c:pt>
                <c:pt idx="17">
                  <c:v>850</c:v>
                </c:pt>
                <c:pt idx="18">
                  <c:v>900</c:v>
                </c:pt>
                <c:pt idx="19">
                  <c:v>950</c:v>
                </c:pt>
                <c:pt idx="20">
                  <c:v>1000</c:v>
                </c:pt>
                <c:pt idx="21">
                  <c:v>1050</c:v>
                </c:pt>
                <c:pt idx="22">
                  <c:v>1100</c:v>
                </c:pt>
                <c:pt idx="23">
                  <c:v>1150</c:v>
                </c:pt>
                <c:pt idx="24">
                  <c:v>1200</c:v>
                </c:pt>
                <c:pt idx="25">
                  <c:v>1250</c:v>
                </c:pt>
              </c:numCache>
            </c:numRef>
          </c:cat>
          <c:val>
            <c:numRef>
              <c:f>'DATA - MW = 15.95 (Sp Gr= 0.55)'!$Y$8:$Y$33</c:f>
              <c:numCache>
                <c:formatCode>General</c:formatCode>
                <c:ptCount val="26"/>
                <c:pt idx="0">
                  <c:v>1</c:v>
                </c:pt>
                <c:pt idx="1">
                  <c:v>0.99080000000000001</c:v>
                </c:pt>
                <c:pt idx="2">
                  <c:v>0.98599999999999999</c:v>
                </c:pt>
                <c:pt idx="3">
                  <c:v>0.98039999999999994</c:v>
                </c:pt>
                <c:pt idx="4">
                  <c:v>0.97160000000000002</c:v>
                </c:pt>
                <c:pt idx="5">
                  <c:v>0.96199999999999997</c:v>
                </c:pt>
                <c:pt idx="6">
                  <c:v>0.95239999999999991</c:v>
                </c:pt>
                <c:pt idx="7">
                  <c:v>0.94519999999999993</c:v>
                </c:pt>
                <c:pt idx="8">
                  <c:v>0.93920000000000003</c:v>
                </c:pt>
                <c:pt idx="9">
                  <c:v>0.93100000000000005</c:v>
                </c:pt>
                <c:pt idx="10">
                  <c:v>0.92380000000000007</c:v>
                </c:pt>
                <c:pt idx="11">
                  <c:v>0.91439999999999999</c:v>
                </c:pt>
                <c:pt idx="12">
                  <c:v>0.90600000000000003</c:v>
                </c:pt>
                <c:pt idx="13">
                  <c:v>0.89760000000000006</c:v>
                </c:pt>
                <c:pt idx="14">
                  <c:v>0.89</c:v>
                </c:pt>
                <c:pt idx="15">
                  <c:v>0.88239999999999996</c:v>
                </c:pt>
                <c:pt idx="16">
                  <c:v>0.87680000000000002</c:v>
                </c:pt>
                <c:pt idx="17">
                  <c:v>0.86939999999999995</c:v>
                </c:pt>
                <c:pt idx="18">
                  <c:v>0.86160000000000003</c:v>
                </c:pt>
                <c:pt idx="19">
                  <c:v>0.85239999999999994</c:v>
                </c:pt>
                <c:pt idx="20">
                  <c:v>0.84560000000000002</c:v>
                </c:pt>
                <c:pt idx="21">
                  <c:v>0.84160000000000001</c:v>
                </c:pt>
                <c:pt idx="22">
                  <c:v>0.83599999999999997</c:v>
                </c:pt>
                <c:pt idx="23">
                  <c:v>0.82939999999999992</c:v>
                </c:pt>
                <c:pt idx="24">
                  <c:v>0.82140000000000002</c:v>
                </c:pt>
                <c:pt idx="25">
                  <c:v>0.81340000000000001</c:v>
                </c:pt>
              </c:numCache>
            </c:numRef>
          </c:val>
        </c:ser>
        <c:ser>
          <c:idx val="19"/>
          <c:order val="19"/>
          <c:tx>
            <c:v>T = 30</c:v>
          </c:tx>
          <c:spPr>
            <a:ln w="12700">
              <a:solidFill>
                <a:srgbClr val="FFCC00"/>
              </a:solidFill>
              <a:prstDash val="solid"/>
            </a:ln>
          </c:spPr>
          <c:marker>
            <c:symbol val="square"/>
            <c:size val="5"/>
            <c:spPr>
              <a:solidFill>
                <a:srgbClr val="FFCC00"/>
              </a:solidFill>
              <a:ln>
                <a:solidFill>
                  <a:srgbClr val="FFCC00"/>
                </a:solidFill>
                <a:prstDash val="solid"/>
              </a:ln>
            </c:spPr>
          </c:marker>
          <c:trendline>
            <c:spPr>
              <a:ln w="25400">
                <a:solidFill>
                  <a:srgbClr val="000000"/>
                </a:solidFill>
                <a:prstDash val="solid"/>
              </a:ln>
            </c:spPr>
            <c:trendlineType val="poly"/>
            <c:order val="3"/>
          </c:trendline>
          <c:cat>
            <c:numRef>
              <c:f>'DATA - MW = 15.95 (Sp Gr= 0.55)'!$A$8:$A$33</c:f>
              <c:numCache>
                <c:formatCode>General</c:formatCode>
                <c:ptCount val="26"/>
                <c:pt idx="0">
                  <c:v>0</c:v>
                </c:pt>
                <c:pt idx="1">
                  <c:v>50</c:v>
                </c:pt>
                <c:pt idx="2">
                  <c:v>100</c:v>
                </c:pt>
                <c:pt idx="3">
                  <c:v>150</c:v>
                </c:pt>
                <c:pt idx="4">
                  <c:v>200</c:v>
                </c:pt>
                <c:pt idx="5">
                  <c:v>250</c:v>
                </c:pt>
                <c:pt idx="6">
                  <c:v>300</c:v>
                </c:pt>
                <c:pt idx="7">
                  <c:v>350</c:v>
                </c:pt>
                <c:pt idx="8">
                  <c:v>400</c:v>
                </c:pt>
                <c:pt idx="9">
                  <c:v>450</c:v>
                </c:pt>
                <c:pt idx="10">
                  <c:v>500</c:v>
                </c:pt>
                <c:pt idx="11">
                  <c:v>550</c:v>
                </c:pt>
                <c:pt idx="12">
                  <c:v>600</c:v>
                </c:pt>
                <c:pt idx="13">
                  <c:v>650</c:v>
                </c:pt>
                <c:pt idx="14">
                  <c:v>700</c:v>
                </c:pt>
                <c:pt idx="15">
                  <c:v>750</c:v>
                </c:pt>
                <c:pt idx="16">
                  <c:v>800</c:v>
                </c:pt>
                <c:pt idx="17">
                  <c:v>850</c:v>
                </c:pt>
                <c:pt idx="18">
                  <c:v>900</c:v>
                </c:pt>
                <c:pt idx="19">
                  <c:v>950</c:v>
                </c:pt>
                <c:pt idx="20">
                  <c:v>1000</c:v>
                </c:pt>
                <c:pt idx="21">
                  <c:v>1050</c:v>
                </c:pt>
                <c:pt idx="22">
                  <c:v>1100</c:v>
                </c:pt>
                <c:pt idx="23">
                  <c:v>1150</c:v>
                </c:pt>
                <c:pt idx="24">
                  <c:v>1200</c:v>
                </c:pt>
                <c:pt idx="25">
                  <c:v>1250</c:v>
                </c:pt>
              </c:numCache>
            </c:numRef>
          </c:cat>
          <c:val>
            <c:numRef>
              <c:f>'DATA - MW = 15.95 (Sp Gr= 0.55)'!$Z$8:$Z$33</c:f>
              <c:numCache>
                <c:formatCode>General</c:formatCode>
                <c:ptCount val="26"/>
                <c:pt idx="0">
                  <c:v>1</c:v>
                </c:pt>
                <c:pt idx="1">
                  <c:v>0.99039999999999995</c:v>
                </c:pt>
                <c:pt idx="2">
                  <c:v>0.98599999999999999</c:v>
                </c:pt>
                <c:pt idx="3">
                  <c:v>0.98019999999999996</c:v>
                </c:pt>
                <c:pt idx="4">
                  <c:v>0.9708</c:v>
                </c:pt>
                <c:pt idx="5">
                  <c:v>0.96099999999999997</c:v>
                </c:pt>
                <c:pt idx="6">
                  <c:v>0.95119999999999993</c:v>
                </c:pt>
                <c:pt idx="7">
                  <c:v>0.94359999999999999</c:v>
                </c:pt>
                <c:pt idx="8">
                  <c:v>0.93759999999999999</c:v>
                </c:pt>
                <c:pt idx="9">
                  <c:v>0.92900000000000005</c:v>
                </c:pt>
                <c:pt idx="10">
                  <c:v>0.9214</c:v>
                </c:pt>
                <c:pt idx="11">
                  <c:v>0.91120000000000001</c:v>
                </c:pt>
                <c:pt idx="12">
                  <c:v>0.90300000000000002</c:v>
                </c:pt>
                <c:pt idx="13">
                  <c:v>0.89480000000000004</c:v>
                </c:pt>
                <c:pt idx="14">
                  <c:v>0.88700000000000001</c:v>
                </c:pt>
                <c:pt idx="15">
                  <c:v>0.87919999999999998</c:v>
                </c:pt>
                <c:pt idx="16">
                  <c:v>0.87339999999999995</c:v>
                </c:pt>
                <c:pt idx="17">
                  <c:v>0.86519999999999997</c:v>
                </c:pt>
                <c:pt idx="18">
                  <c:v>0.85680000000000001</c:v>
                </c:pt>
                <c:pt idx="19">
                  <c:v>0.84719999999999995</c:v>
                </c:pt>
                <c:pt idx="20">
                  <c:v>0.84079999999999999</c:v>
                </c:pt>
                <c:pt idx="21">
                  <c:v>0.83579999999999999</c:v>
                </c:pt>
                <c:pt idx="22">
                  <c:v>0.83</c:v>
                </c:pt>
                <c:pt idx="23">
                  <c:v>0.82319999999999993</c:v>
                </c:pt>
                <c:pt idx="24">
                  <c:v>0.81520000000000004</c:v>
                </c:pt>
                <c:pt idx="25">
                  <c:v>0.80720000000000003</c:v>
                </c:pt>
              </c:numCache>
            </c:numRef>
          </c:val>
        </c:ser>
        <c:ser>
          <c:idx val="20"/>
          <c:order val="20"/>
          <c:tx>
            <c:v>T = 20</c:v>
          </c:tx>
          <c:spPr>
            <a:ln w="12700">
              <a:solidFill>
                <a:srgbClr val="FF9900"/>
              </a:solidFill>
              <a:prstDash val="solid"/>
            </a:ln>
          </c:spPr>
          <c:marker>
            <c:symbol val="triangle"/>
            <c:size val="5"/>
            <c:spPr>
              <a:solidFill>
                <a:srgbClr val="FF9900"/>
              </a:solidFill>
              <a:ln>
                <a:solidFill>
                  <a:srgbClr val="FF9900"/>
                </a:solidFill>
                <a:prstDash val="solid"/>
              </a:ln>
            </c:spPr>
          </c:marker>
          <c:trendline>
            <c:spPr>
              <a:ln w="25400">
                <a:solidFill>
                  <a:srgbClr val="000000"/>
                </a:solidFill>
                <a:prstDash val="solid"/>
              </a:ln>
            </c:spPr>
            <c:trendlineType val="poly"/>
            <c:order val="3"/>
          </c:trendline>
          <c:cat>
            <c:numRef>
              <c:f>'DATA - MW = 15.95 (Sp Gr= 0.55)'!$A$8:$A$33</c:f>
              <c:numCache>
                <c:formatCode>General</c:formatCode>
                <c:ptCount val="26"/>
                <c:pt idx="0">
                  <c:v>0</c:v>
                </c:pt>
                <c:pt idx="1">
                  <c:v>50</c:v>
                </c:pt>
                <c:pt idx="2">
                  <c:v>100</c:v>
                </c:pt>
                <c:pt idx="3">
                  <c:v>150</c:v>
                </c:pt>
                <c:pt idx="4">
                  <c:v>200</c:v>
                </c:pt>
                <c:pt idx="5">
                  <c:v>250</c:v>
                </c:pt>
                <c:pt idx="6">
                  <c:v>300</c:v>
                </c:pt>
                <c:pt idx="7">
                  <c:v>350</c:v>
                </c:pt>
                <c:pt idx="8">
                  <c:v>400</c:v>
                </c:pt>
                <c:pt idx="9">
                  <c:v>450</c:v>
                </c:pt>
                <c:pt idx="10">
                  <c:v>500</c:v>
                </c:pt>
                <c:pt idx="11">
                  <c:v>550</c:v>
                </c:pt>
                <c:pt idx="12">
                  <c:v>600</c:v>
                </c:pt>
                <c:pt idx="13">
                  <c:v>650</c:v>
                </c:pt>
                <c:pt idx="14">
                  <c:v>700</c:v>
                </c:pt>
                <c:pt idx="15">
                  <c:v>750</c:v>
                </c:pt>
                <c:pt idx="16">
                  <c:v>800</c:v>
                </c:pt>
                <c:pt idx="17">
                  <c:v>850</c:v>
                </c:pt>
                <c:pt idx="18">
                  <c:v>900</c:v>
                </c:pt>
                <c:pt idx="19">
                  <c:v>950</c:v>
                </c:pt>
                <c:pt idx="20">
                  <c:v>1000</c:v>
                </c:pt>
                <c:pt idx="21">
                  <c:v>1050</c:v>
                </c:pt>
                <c:pt idx="22">
                  <c:v>1100</c:v>
                </c:pt>
                <c:pt idx="23">
                  <c:v>1150</c:v>
                </c:pt>
                <c:pt idx="24">
                  <c:v>1200</c:v>
                </c:pt>
                <c:pt idx="25">
                  <c:v>1250</c:v>
                </c:pt>
              </c:numCache>
            </c:numRef>
          </c:cat>
          <c:val>
            <c:numRef>
              <c:f>'DATA - MW = 15.95 (Sp Gr= 0.55)'!$AB$8:$AB$33</c:f>
              <c:numCache>
                <c:formatCode>General</c:formatCode>
                <c:ptCount val="26"/>
                <c:pt idx="0">
                  <c:v>1</c:v>
                </c:pt>
                <c:pt idx="1">
                  <c:v>0.99</c:v>
                </c:pt>
                <c:pt idx="2">
                  <c:v>0.98580000000000001</c:v>
                </c:pt>
                <c:pt idx="3">
                  <c:v>0.97860000000000003</c:v>
                </c:pt>
                <c:pt idx="4">
                  <c:v>0.96819999999999995</c:v>
                </c:pt>
                <c:pt idx="5">
                  <c:v>0.95799999999999996</c:v>
                </c:pt>
                <c:pt idx="6">
                  <c:v>0.94799999999999995</c:v>
                </c:pt>
                <c:pt idx="7">
                  <c:v>0.93959999999999999</c:v>
                </c:pt>
                <c:pt idx="8">
                  <c:v>0.93240000000000001</c:v>
                </c:pt>
                <c:pt idx="9">
                  <c:v>0.92260000000000009</c:v>
                </c:pt>
                <c:pt idx="10">
                  <c:v>0.91439999999999999</c:v>
                </c:pt>
                <c:pt idx="11">
                  <c:v>0.90400000000000003</c:v>
                </c:pt>
                <c:pt idx="12">
                  <c:v>0.89600000000000002</c:v>
                </c:pt>
                <c:pt idx="13">
                  <c:v>0.88700000000000001</c:v>
                </c:pt>
                <c:pt idx="14">
                  <c:v>0.87860000000000005</c:v>
                </c:pt>
                <c:pt idx="15">
                  <c:v>0.87039999999999995</c:v>
                </c:pt>
                <c:pt idx="16">
                  <c:v>0.86399999999999999</c:v>
                </c:pt>
                <c:pt idx="17">
                  <c:v>0.85499999999999998</c:v>
                </c:pt>
                <c:pt idx="18">
                  <c:v>0.84599999999999997</c:v>
                </c:pt>
                <c:pt idx="19">
                  <c:v>0.83560000000000001</c:v>
                </c:pt>
                <c:pt idx="20">
                  <c:v>0.82879999999999998</c:v>
                </c:pt>
                <c:pt idx="21">
                  <c:v>0.82279999999999998</c:v>
                </c:pt>
                <c:pt idx="22">
                  <c:v>0.81579999999999997</c:v>
                </c:pt>
                <c:pt idx="23">
                  <c:v>0.80840000000000001</c:v>
                </c:pt>
                <c:pt idx="24">
                  <c:v>0.8</c:v>
                </c:pt>
                <c:pt idx="25">
                  <c:v>0.79180000000000006</c:v>
                </c:pt>
              </c:numCache>
            </c:numRef>
          </c:val>
        </c:ser>
        <c:ser>
          <c:idx val="21"/>
          <c:order val="21"/>
          <c:tx>
            <c:v>T = 15</c:v>
          </c:tx>
          <c:spPr>
            <a:ln w="12700">
              <a:solidFill>
                <a:srgbClr val="FF6600"/>
              </a:solidFill>
              <a:prstDash val="solid"/>
            </a:ln>
          </c:spPr>
          <c:marker>
            <c:symbol val="x"/>
            <c:size val="5"/>
            <c:spPr>
              <a:noFill/>
              <a:ln>
                <a:solidFill>
                  <a:srgbClr val="FF6600"/>
                </a:solidFill>
                <a:prstDash val="solid"/>
              </a:ln>
            </c:spPr>
          </c:marker>
          <c:trendline>
            <c:spPr>
              <a:ln w="25400">
                <a:solidFill>
                  <a:srgbClr val="000000"/>
                </a:solidFill>
                <a:prstDash val="solid"/>
              </a:ln>
            </c:spPr>
            <c:trendlineType val="poly"/>
            <c:order val="3"/>
          </c:trendline>
          <c:cat>
            <c:numRef>
              <c:f>'DATA - MW = 15.95 (Sp Gr= 0.55)'!$A$8:$A$33</c:f>
              <c:numCache>
                <c:formatCode>General</c:formatCode>
                <c:ptCount val="26"/>
                <c:pt idx="0">
                  <c:v>0</c:v>
                </c:pt>
                <c:pt idx="1">
                  <c:v>50</c:v>
                </c:pt>
                <c:pt idx="2">
                  <c:v>100</c:v>
                </c:pt>
                <c:pt idx="3">
                  <c:v>150</c:v>
                </c:pt>
                <c:pt idx="4">
                  <c:v>200</c:v>
                </c:pt>
                <c:pt idx="5">
                  <c:v>250</c:v>
                </c:pt>
                <c:pt idx="6">
                  <c:v>300</c:v>
                </c:pt>
                <c:pt idx="7">
                  <c:v>350</c:v>
                </c:pt>
                <c:pt idx="8">
                  <c:v>400</c:v>
                </c:pt>
                <c:pt idx="9">
                  <c:v>450</c:v>
                </c:pt>
                <c:pt idx="10">
                  <c:v>500</c:v>
                </c:pt>
                <c:pt idx="11">
                  <c:v>550</c:v>
                </c:pt>
                <c:pt idx="12">
                  <c:v>600</c:v>
                </c:pt>
                <c:pt idx="13">
                  <c:v>650</c:v>
                </c:pt>
                <c:pt idx="14">
                  <c:v>700</c:v>
                </c:pt>
                <c:pt idx="15">
                  <c:v>750</c:v>
                </c:pt>
                <c:pt idx="16">
                  <c:v>800</c:v>
                </c:pt>
                <c:pt idx="17">
                  <c:v>850</c:v>
                </c:pt>
                <c:pt idx="18">
                  <c:v>900</c:v>
                </c:pt>
                <c:pt idx="19">
                  <c:v>950</c:v>
                </c:pt>
                <c:pt idx="20">
                  <c:v>1000</c:v>
                </c:pt>
                <c:pt idx="21">
                  <c:v>1050</c:v>
                </c:pt>
                <c:pt idx="22">
                  <c:v>1100</c:v>
                </c:pt>
                <c:pt idx="23">
                  <c:v>1150</c:v>
                </c:pt>
                <c:pt idx="24">
                  <c:v>1200</c:v>
                </c:pt>
                <c:pt idx="25">
                  <c:v>1250</c:v>
                </c:pt>
              </c:numCache>
            </c:numRef>
          </c:cat>
          <c:val>
            <c:numRef>
              <c:f>'DATA - MW = 15.95 (Sp Gr= 0.55)'!$AC$8:$AC$33</c:f>
              <c:numCache>
                <c:formatCode>General</c:formatCode>
                <c:ptCount val="26"/>
                <c:pt idx="0">
                  <c:v>1</c:v>
                </c:pt>
                <c:pt idx="1">
                  <c:v>0.99</c:v>
                </c:pt>
                <c:pt idx="2">
                  <c:v>0.98560000000000003</c:v>
                </c:pt>
                <c:pt idx="3">
                  <c:v>0.97719999999999996</c:v>
                </c:pt>
                <c:pt idx="4">
                  <c:v>0.96639999999999993</c:v>
                </c:pt>
                <c:pt idx="5">
                  <c:v>0.95599999999999996</c:v>
                </c:pt>
                <c:pt idx="6">
                  <c:v>0.94599999999999995</c:v>
                </c:pt>
                <c:pt idx="7">
                  <c:v>0.93720000000000003</c:v>
                </c:pt>
                <c:pt idx="8">
                  <c:v>0.92880000000000007</c:v>
                </c:pt>
                <c:pt idx="9">
                  <c:v>0.91820000000000002</c:v>
                </c:pt>
                <c:pt idx="10">
                  <c:v>0.90980000000000005</c:v>
                </c:pt>
                <c:pt idx="11">
                  <c:v>0.9</c:v>
                </c:pt>
                <c:pt idx="12">
                  <c:v>0.89200000000000002</c:v>
                </c:pt>
                <c:pt idx="13">
                  <c:v>0.88200000000000001</c:v>
                </c:pt>
                <c:pt idx="14">
                  <c:v>0.87319999999999998</c:v>
                </c:pt>
                <c:pt idx="15">
                  <c:v>0.86480000000000001</c:v>
                </c:pt>
                <c:pt idx="16">
                  <c:v>0.85799999999999998</c:v>
                </c:pt>
                <c:pt idx="17">
                  <c:v>0.84899999999999998</c:v>
                </c:pt>
                <c:pt idx="18">
                  <c:v>0.84</c:v>
                </c:pt>
                <c:pt idx="19">
                  <c:v>0.82920000000000005</c:v>
                </c:pt>
                <c:pt idx="20">
                  <c:v>0.8216</c:v>
                </c:pt>
                <c:pt idx="21">
                  <c:v>0.81559999999999999</c:v>
                </c:pt>
                <c:pt idx="22">
                  <c:v>0.80759999999999998</c:v>
                </c:pt>
                <c:pt idx="23">
                  <c:v>0.79979999999999996</c:v>
                </c:pt>
                <c:pt idx="24">
                  <c:v>0.79100000000000004</c:v>
                </c:pt>
                <c:pt idx="25">
                  <c:v>0.78260000000000007</c:v>
                </c:pt>
              </c:numCache>
            </c:numRef>
          </c:val>
        </c:ser>
        <c:ser>
          <c:idx val="22"/>
          <c:order val="22"/>
          <c:tx>
            <c:v>T = 10</c:v>
          </c:tx>
          <c:spPr>
            <a:ln w="12700">
              <a:solidFill>
                <a:srgbClr val="666699"/>
              </a:solidFill>
              <a:prstDash val="solid"/>
            </a:ln>
          </c:spPr>
          <c:marker>
            <c:symbol val="star"/>
            <c:size val="5"/>
            <c:spPr>
              <a:noFill/>
              <a:ln>
                <a:solidFill>
                  <a:srgbClr val="666699"/>
                </a:solidFill>
                <a:prstDash val="solid"/>
              </a:ln>
            </c:spPr>
          </c:marker>
          <c:trendline>
            <c:spPr>
              <a:ln w="25400">
                <a:solidFill>
                  <a:srgbClr val="000000"/>
                </a:solidFill>
                <a:prstDash val="solid"/>
              </a:ln>
            </c:spPr>
            <c:trendlineType val="poly"/>
            <c:order val="3"/>
          </c:trendline>
          <c:cat>
            <c:numRef>
              <c:f>'DATA - MW = 15.95 (Sp Gr= 0.55)'!$A$8:$A$33</c:f>
              <c:numCache>
                <c:formatCode>General</c:formatCode>
                <c:ptCount val="26"/>
                <c:pt idx="0">
                  <c:v>0</c:v>
                </c:pt>
                <c:pt idx="1">
                  <c:v>50</c:v>
                </c:pt>
                <c:pt idx="2">
                  <c:v>100</c:v>
                </c:pt>
                <c:pt idx="3">
                  <c:v>150</c:v>
                </c:pt>
                <c:pt idx="4">
                  <c:v>200</c:v>
                </c:pt>
                <c:pt idx="5">
                  <c:v>250</c:v>
                </c:pt>
                <c:pt idx="6">
                  <c:v>300</c:v>
                </c:pt>
                <c:pt idx="7">
                  <c:v>350</c:v>
                </c:pt>
                <c:pt idx="8">
                  <c:v>400</c:v>
                </c:pt>
                <c:pt idx="9">
                  <c:v>450</c:v>
                </c:pt>
                <c:pt idx="10">
                  <c:v>500</c:v>
                </c:pt>
                <c:pt idx="11">
                  <c:v>550</c:v>
                </c:pt>
                <c:pt idx="12">
                  <c:v>600</c:v>
                </c:pt>
                <c:pt idx="13">
                  <c:v>650</c:v>
                </c:pt>
                <c:pt idx="14">
                  <c:v>700</c:v>
                </c:pt>
                <c:pt idx="15">
                  <c:v>750</c:v>
                </c:pt>
                <c:pt idx="16">
                  <c:v>800</c:v>
                </c:pt>
                <c:pt idx="17">
                  <c:v>850</c:v>
                </c:pt>
                <c:pt idx="18">
                  <c:v>900</c:v>
                </c:pt>
                <c:pt idx="19">
                  <c:v>950</c:v>
                </c:pt>
                <c:pt idx="20">
                  <c:v>1000</c:v>
                </c:pt>
                <c:pt idx="21">
                  <c:v>1050</c:v>
                </c:pt>
                <c:pt idx="22">
                  <c:v>1100</c:v>
                </c:pt>
                <c:pt idx="23">
                  <c:v>1150</c:v>
                </c:pt>
                <c:pt idx="24">
                  <c:v>1200</c:v>
                </c:pt>
                <c:pt idx="25">
                  <c:v>1250</c:v>
                </c:pt>
              </c:numCache>
            </c:numRef>
          </c:cat>
          <c:val>
            <c:numRef>
              <c:f>'DATA - MW = 15.95 (Sp Gr= 0.55)'!$AD$8:$AD$33</c:f>
              <c:numCache>
                <c:formatCode>General</c:formatCode>
                <c:ptCount val="26"/>
                <c:pt idx="0">
                  <c:v>1</c:v>
                </c:pt>
                <c:pt idx="1">
                  <c:v>0.99</c:v>
                </c:pt>
                <c:pt idx="2">
                  <c:v>0.98539999999999994</c:v>
                </c:pt>
                <c:pt idx="3">
                  <c:v>0.9758</c:v>
                </c:pt>
                <c:pt idx="4">
                  <c:v>0.96460000000000001</c:v>
                </c:pt>
                <c:pt idx="5">
                  <c:v>0.95399999999999996</c:v>
                </c:pt>
                <c:pt idx="6">
                  <c:v>0.94399999999999995</c:v>
                </c:pt>
                <c:pt idx="7">
                  <c:v>0.93479999999999996</c:v>
                </c:pt>
                <c:pt idx="8">
                  <c:v>0.92520000000000002</c:v>
                </c:pt>
                <c:pt idx="9">
                  <c:v>0.91380000000000006</c:v>
                </c:pt>
                <c:pt idx="10">
                  <c:v>0.9052</c:v>
                </c:pt>
                <c:pt idx="11">
                  <c:v>0.89600000000000002</c:v>
                </c:pt>
                <c:pt idx="12">
                  <c:v>0.88800000000000001</c:v>
                </c:pt>
                <c:pt idx="13">
                  <c:v>0.877</c:v>
                </c:pt>
                <c:pt idx="14">
                  <c:v>0.86780000000000002</c:v>
                </c:pt>
                <c:pt idx="15">
                  <c:v>0.85919999999999996</c:v>
                </c:pt>
                <c:pt idx="16">
                  <c:v>0.85199999999999998</c:v>
                </c:pt>
                <c:pt idx="17">
                  <c:v>0.84299999999999997</c:v>
                </c:pt>
                <c:pt idx="18">
                  <c:v>0.83399999999999996</c:v>
                </c:pt>
                <c:pt idx="19">
                  <c:v>0.82279999999999998</c:v>
                </c:pt>
                <c:pt idx="20">
                  <c:v>0.81440000000000001</c:v>
                </c:pt>
                <c:pt idx="21">
                  <c:v>0.80840000000000001</c:v>
                </c:pt>
                <c:pt idx="22">
                  <c:v>0.7994</c:v>
                </c:pt>
                <c:pt idx="23">
                  <c:v>0.79120000000000001</c:v>
                </c:pt>
                <c:pt idx="24">
                  <c:v>0.78200000000000003</c:v>
                </c:pt>
                <c:pt idx="25">
                  <c:v>0.77339999999999998</c:v>
                </c:pt>
              </c:numCache>
            </c:numRef>
          </c:val>
        </c:ser>
        <c:ser>
          <c:idx val="23"/>
          <c:order val="23"/>
          <c:tx>
            <c:v>T = 5</c:v>
          </c:tx>
          <c:spPr>
            <a:ln w="12700">
              <a:solidFill>
                <a:srgbClr val="969696"/>
              </a:solidFill>
              <a:prstDash val="solid"/>
            </a:ln>
          </c:spPr>
          <c:marker>
            <c:symbol val="circle"/>
            <c:size val="5"/>
            <c:spPr>
              <a:solidFill>
                <a:srgbClr val="969696"/>
              </a:solidFill>
              <a:ln>
                <a:solidFill>
                  <a:srgbClr val="969696"/>
                </a:solidFill>
                <a:prstDash val="solid"/>
              </a:ln>
            </c:spPr>
          </c:marker>
          <c:trendline>
            <c:spPr>
              <a:ln w="25400">
                <a:solidFill>
                  <a:srgbClr val="000000"/>
                </a:solidFill>
                <a:prstDash val="solid"/>
              </a:ln>
            </c:spPr>
            <c:trendlineType val="poly"/>
            <c:order val="3"/>
          </c:trendline>
          <c:cat>
            <c:numRef>
              <c:f>'DATA - MW = 15.95 (Sp Gr= 0.55)'!$A$8:$A$33</c:f>
              <c:numCache>
                <c:formatCode>General</c:formatCode>
                <c:ptCount val="26"/>
                <c:pt idx="0">
                  <c:v>0</c:v>
                </c:pt>
                <c:pt idx="1">
                  <c:v>50</c:v>
                </c:pt>
                <c:pt idx="2">
                  <c:v>100</c:v>
                </c:pt>
                <c:pt idx="3">
                  <c:v>150</c:v>
                </c:pt>
                <c:pt idx="4">
                  <c:v>200</c:v>
                </c:pt>
                <c:pt idx="5">
                  <c:v>250</c:v>
                </c:pt>
                <c:pt idx="6">
                  <c:v>300</c:v>
                </c:pt>
                <c:pt idx="7">
                  <c:v>350</c:v>
                </c:pt>
                <c:pt idx="8">
                  <c:v>400</c:v>
                </c:pt>
                <c:pt idx="9">
                  <c:v>450</c:v>
                </c:pt>
                <c:pt idx="10">
                  <c:v>500</c:v>
                </c:pt>
                <c:pt idx="11">
                  <c:v>550</c:v>
                </c:pt>
                <c:pt idx="12">
                  <c:v>600</c:v>
                </c:pt>
                <c:pt idx="13">
                  <c:v>650</c:v>
                </c:pt>
                <c:pt idx="14">
                  <c:v>700</c:v>
                </c:pt>
                <c:pt idx="15">
                  <c:v>750</c:v>
                </c:pt>
                <c:pt idx="16">
                  <c:v>800</c:v>
                </c:pt>
                <c:pt idx="17">
                  <c:v>850</c:v>
                </c:pt>
                <c:pt idx="18">
                  <c:v>900</c:v>
                </c:pt>
                <c:pt idx="19">
                  <c:v>950</c:v>
                </c:pt>
                <c:pt idx="20">
                  <c:v>1000</c:v>
                </c:pt>
                <c:pt idx="21">
                  <c:v>1050</c:v>
                </c:pt>
                <c:pt idx="22">
                  <c:v>1100</c:v>
                </c:pt>
                <c:pt idx="23">
                  <c:v>1150</c:v>
                </c:pt>
                <c:pt idx="24">
                  <c:v>1200</c:v>
                </c:pt>
                <c:pt idx="25">
                  <c:v>1250</c:v>
                </c:pt>
              </c:numCache>
            </c:numRef>
          </c:cat>
          <c:val>
            <c:numRef>
              <c:f>'DATA - MW = 15.95 (Sp Gr= 0.55)'!$AE$8:$AE$33</c:f>
              <c:numCache>
                <c:formatCode>General</c:formatCode>
                <c:ptCount val="26"/>
                <c:pt idx="0">
                  <c:v>1</c:v>
                </c:pt>
                <c:pt idx="1">
                  <c:v>0.99</c:v>
                </c:pt>
                <c:pt idx="2">
                  <c:v>0.98519999999999996</c:v>
                </c:pt>
                <c:pt idx="3">
                  <c:v>0.97439999999999993</c:v>
                </c:pt>
                <c:pt idx="4">
                  <c:v>0.96279999999999999</c:v>
                </c:pt>
                <c:pt idx="5">
                  <c:v>0.95199999999999996</c:v>
                </c:pt>
                <c:pt idx="6">
                  <c:v>0.94199999999999995</c:v>
                </c:pt>
                <c:pt idx="7">
                  <c:v>0.93240000000000001</c:v>
                </c:pt>
                <c:pt idx="8">
                  <c:v>0.92160000000000009</c:v>
                </c:pt>
                <c:pt idx="9">
                  <c:v>0.90939999999999999</c:v>
                </c:pt>
                <c:pt idx="10">
                  <c:v>0.90060000000000007</c:v>
                </c:pt>
                <c:pt idx="11">
                  <c:v>0.89200000000000002</c:v>
                </c:pt>
                <c:pt idx="12">
                  <c:v>0.88400000000000001</c:v>
                </c:pt>
                <c:pt idx="13">
                  <c:v>0.872</c:v>
                </c:pt>
                <c:pt idx="14">
                  <c:v>0.86239999999999994</c:v>
                </c:pt>
                <c:pt idx="15">
                  <c:v>0.85360000000000003</c:v>
                </c:pt>
                <c:pt idx="16">
                  <c:v>0.84599999999999997</c:v>
                </c:pt>
                <c:pt idx="17">
                  <c:v>0.83699999999999997</c:v>
                </c:pt>
                <c:pt idx="18">
                  <c:v>0.82799999999999996</c:v>
                </c:pt>
                <c:pt idx="19">
                  <c:v>0.81640000000000001</c:v>
                </c:pt>
                <c:pt idx="20">
                  <c:v>0.80720000000000003</c:v>
                </c:pt>
                <c:pt idx="21">
                  <c:v>0.80120000000000002</c:v>
                </c:pt>
                <c:pt idx="22">
                  <c:v>0.79120000000000001</c:v>
                </c:pt>
                <c:pt idx="23">
                  <c:v>0.78259999999999996</c:v>
                </c:pt>
                <c:pt idx="24">
                  <c:v>0.77300000000000002</c:v>
                </c:pt>
                <c:pt idx="25">
                  <c:v>0.76419999999999999</c:v>
                </c:pt>
              </c:numCache>
            </c:numRef>
          </c:val>
        </c:ser>
        <c:marker val="1"/>
        <c:axId val="154659840"/>
        <c:axId val="154690688"/>
      </c:lineChart>
      <c:catAx>
        <c:axId val="154659840"/>
        <c:scaling>
          <c:orientation val="minMax"/>
        </c:scaling>
        <c:axPos val="b"/>
        <c:title>
          <c:tx>
            <c:rich>
              <a:bodyPr/>
              <a:lstStyle/>
              <a:p>
                <a:pPr>
                  <a:defRPr sz="1000" b="1" i="0" u="none" strike="noStrike" baseline="0">
                    <a:solidFill>
                      <a:srgbClr val="000000"/>
                    </a:solidFill>
                    <a:latin typeface="Arial"/>
                    <a:ea typeface="Arial"/>
                    <a:cs typeface="Arial"/>
                  </a:defRPr>
                </a:pPr>
                <a:r>
                  <a:rPr lang="en-US"/>
                  <a:t>Pressure</a:t>
                </a:r>
              </a:p>
            </c:rich>
          </c:tx>
          <c:layout>
            <c:manualLayout>
              <c:xMode val="edge"/>
              <c:yMode val="edge"/>
              <c:x val="0.4284128745837959"/>
              <c:y val="0.94616639477977149"/>
            </c:manualLayout>
          </c:layout>
          <c:spPr>
            <a:noFill/>
            <a:ln w="25400">
              <a:noFill/>
            </a:ln>
          </c:spPr>
        </c:title>
        <c:numFmt formatCode="General" sourceLinked="1"/>
        <c:minorTickMark val="cross"/>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54690688"/>
        <c:crosses val="autoZero"/>
        <c:auto val="1"/>
        <c:lblAlgn val="ctr"/>
        <c:lblOffset val="100"/>
        <c:tickLblSkip val="4"/>
        <c:tickMarkSkip val="1"/>
      </c:catAx>
      <c:valAx>
        <c:axId val="154690688"/>
        <c:scaling>
          <c:orientation val="minMax"/>
          <c:min val="0.70000000000000007"/>
        </c:scaling>
        <c:axPos val="l"/>
        <c:majorGridlines>
          <c:spPr>
            <a:ln w="3175">
              <a:solidFill>
                <a:srgbClr val="000000"/>
              </a:solidFill>
              <a:prstDash val="solid"/>
            </a:ln>
          </c:spPr>
        </c:majorGridlines>
        <c:title>
          <c:tx>
            <c:rich>
              <a:bodyPr/>
              <a:lstStyle/>
              <a:p>
                <a:pPr>
                  <a:defRPr sz="1000" b="1" i="0" u="none" strike="noStrike" baseline="0">
                    <a:solidFill>
                      <a:srgbClr val="000000"/>
                    </a:solidFill>
                    <a:latin typeface="Arial"/>
                    <a:ea typeface="Arial"/>
                    <a:cs typeface="Arial"/>
                  </a:defRPr>
                </a:pPr>
                <a:r>
                  <a:rPr lang="en-US"/>
                  <a:t>Z</a:t>
                </a:r>
              </a:p>
            </c:rich>
          </c:tx>
          <c:layout>
            <c:manualLayout>
              <c:xMode val="edge"/>
              <c:yMode val="edge"/>
              <c:x val="1.1098779134295227E-2"/>
              <c:y val="0.50081566068515493"/>
            </c:manualLayout>
          </c:layout>
          <c:spPr>
            <a:noFill/>
            <a:ln w="25400">
              <a:noFill/>
            </a:ln>
          </c:spPr>
        </c:title>
        <c:numFmt formatCode="General" sourceLinked="1"/>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54659840"/>
        <c:crosses val="autoZero"/>
        <c:crossBetween val="between"/>
      </c:valAx>
      <c:spPr>
        <a:solidFill>
          <a:srgbClr val="FFFFFF"/>
        </a:solidFill>
        <a:ln w="12700">
          <a:solidFill>
            <a:srgbClr val="808080"/>
          </a:solidFill>
          <a:prstDash val="solid"/>
        </a:ln>
      </c:spPr>
    </c:plotArea>
    <c:legend>
      <c:legendPos val="r"/>
      <c:layout>
        <c:manualLayout>
          <c:xMode val="edge"/>
          <c:yMode val="edge"/>
          <c:x val="0.85571587125416215"/>
          <c:y val="8.1566068515497581E-3"/>
          <c:w val="0.13873473917869042"/>
          <c:h val="0.99184339314845038"/>
        </c:manualLayout>
      </c:layout>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n-US"/>
        </a:p>
      </c:txPr>
    </c:legend>
    <c:plotVisOnly val="1"/>
    <c:dispBlanksAs val="gap"/>
  </c:chart>
  <c:spPr>
    <a:noFill/>
    <a:ln w="9525">
      <a:noFill/>
    </a:ln>
  </c:spPr>
  <c:txPr>
    <a:bodyPr/>
    <a:lstStyle/>
    <a:p>
      <a:pPr>
        <a:defRPr sz="1000" b="0" i="0" u="none" strike="noStrike" baseline="0">
          <a:solidFill>
            <a:srgbClr val="000000"/>
          </a:solidFill>
          <a:latin typeface="Arial"/>
          <a:ea typeface="Arial"/>
          <a:cs typeface="Arial"/>
        </a:defRPr>
      </a:pPr>
      <a:endParaRPr lang="en-US"/>
    </a:p>
  </c:txPr>
</c:chartSpace>
</file>

<file path=xl/charts/chart3.xml><?xml version="1.0" encoding="utf-8"?>
<c:chartSpace xmlns:c="http://schemas.openxmlformats.org/drawingml/2006/chart" xmlns:a="http://schemas.openxmlformats.org/drawingml/2006/main" xmlns:r="http://schemas.openxmlformats.org/officeDocument/2006/relationships">
  <c:lang val="en-US"/>
  <c:protection/>
  <c:chart>
    <c:title>
      <c:tx>
        <c:rich>
          <a:bodyPr/>
          <a:lstStyle/>
          <a:p>
            <a:pPr>
              <a:defRPr sz="1200" b="1" i="0" u="none" strike="noStrike" baseline="0">
                <a:solidFill>
                  <a:srgbClr val="000000"/>
                </a:solidFill>
                <a:latin typeface="Arial"/>
                <a:ea typeface="Arial"/>
                <a:cs typeface="Arial"/>
              </a:defRPr>
            </a:pPr>
            <a:r>
              <a:rPr lang="en-US"/>
              <a:t>Compressibility (Sp Gr = 0.6, MW = 17.4)</a:t>
            </a:r>
          </a:p>
        </c:rich>
      </c:tx>
      <c:layout>
        <c:manualLayout>
          <c:xMode val="edge"/>
          <c:yMode val="edge"/>
          <c:x val="0.33074361820199777"/>
          <c:y val="1.9575856443719414E-2"/>
        </c:manualLayout>
      </c:layout>
      <c:spPr>
        <a:noFill/>
        <a:ln w="25400">
          <a:noFill/>
        </a:ln>
      </c:spPr>
    </c:title>
    <c:plotArea>
      <c:layout>
        <c:manualLayout>
          <c:layoutTarget val="inner"/>
          <c:xMode val="edge"/>
          <c:yMode val="edge"/>
          <c:x val="7.8801331853496123E-2"/>
          <c:y val="0.12234910277324634"/>
          <c:w val="0.75249722530521657"/>
          <c:h val="0.771615008156607"/>
        </c:manualLayout>
      </c:layout>
      <c:lineChart>
        <c:grouping val="standard"/>
        <c:ser>
          <c:idx val="0"/>
          <c:order val="0"/>
          <c:tx>
            <c:v>T = 150 F</c:v>
          </c:tx>
          <c:spPr>
            <a:ln w="12700">
              <a:solidFill>
                <a:srgbClr val="000080"/>
              </a:solidFill>
              <a:prstDash val="solid"/>
            </a:ln>
          </c:spPr>
          <c:marker>
            <c:symbol val="diamond"/>
            <c:size val="5"/>
            <c:spPr>
              <a:solidFill>
                <a:srgbClr val="000080"/>
              </a:solidFill>
              <a:ln>
                <a:solidFill>
                  <a:srgbClr val="000080"/>
                </a:solidFill>
                <a:prstDash val="solid"/>
              </a:ln>
            </c:spPr>
          </c:marker>
          <c:trendline>
            <c:spPr>
              <a:ln w="25400">
                <a:solidFill>
                  <a:srgbClr val="000000"/>
                </a:solidFill>
                <a:prstDash val="solid"/>
              </a:ln>
            </c:spPr>
            <c:trendlineType val="poly"/>
            <c:order val="2"/>
          </c:trendline>
          <c:trendline>
            <c:spPr>
              <a:ln w="25400">
                <a:solidFill>
                  <a:srgbClr val="000000"/>
                </a:solidFill>
                <a:prstDash val="solid"/>
              </a:ln>
            </c:spPr>
            <c:trendlineType val="poly"/>
            <c:order val="3"/>
          </c:trendline>
          <c:cat>
            <c:numRef>
              <c:f>'DATA - MW = 17.40 (Sp Gr= 0.6)'!$A$8:$A$33</c:f>
              <c:numCache>
                <c:formatCode>General</c:formatCode>
                <c:ptCount val="26"/>
                <c:pt idx="0">
                  <c:v>0</c:v>
                </c:pt>
                <c:pt idx="1">
                  <c:v>50</c:v>
                </c:pt>
                <c:pt idx="2">
                  <c:v>100</c:v>
                </c:pt>
                <c:pt idx="3">
                  <c:v>150</c:v>
                </c:pt>
                <c:pt idx="4">
                  <c:v>200</c:v>
                </c:pt>
                <c:pt idx="5">
                  <c:v>250</c:v>
                </c:pt>
                <c:pt idx="6">
                  <c:v>300</c:v>
                </c:pt>
                <c:pt idx="7">
                  <c:v>350</c:v>
                </c:pt>
                <c:pt idx="8">
                  <c:v>400</c:v>
                </c:pt>
                <c:pt idx="9">
                  <c:v>450</c:v>
                </c:pt>
                <c:pt idx="10">
                  <c:v>500</c:v>
                </c:pt>
                <c:pt idx="11">
                  <c:v>550</c:v>
                </c:pt>
                <c:pt idx="12">
                  <c:v>600</c:v>
                </c:pt>
                <c:pt idx="13">
                  <c:v>650</c:v>
                </c:pt>
                <c:pt idx="14">
                  <c:v>700</c:v>
                </c:pt>
                <c:pt idx="15">
                  <c:v>750</c:v>
                </c:pt>
                <c:pt idx="16">
                  <c:v>800</c:v>
                </c:pt>
                <c:pt idx="17">
                  <c:v>850</c:v>
                </c:pt>
                <c:pt idx="18">
                  <c:v>900</c:v>
                </c:pt>
                <c:pt idx="19">
                  <c:v>950</c:v>
                </c:pt>
                <c:pt idx="20">
                  <c:v>1000</c:v>
                </c:pt>
                <c:pt idx="21">
                  <c:v>1050</c:v>
                </c:pt>
                <c:pt idx="22">
                  <c:v>1100</c:v>
                </c:pt>
                <c:pt idx="23">
                  <c:v>1150</c:v>
                </c:pt>
                <c:pt idx="24">
                  <c:v>1200</c:v>
                </c:pt>
                <c:pt idx="25">
                  <c:v>1250</c:v>
                </c:pt>
              </c:numCache>
            </c:numRef>
          </c:cat>
          <c:val>
            <c:numRef>
              <c:f>'DATA - MW = 17.40 (Sp Gr= 0.6)'!$B$8:$B$33</c:f>
              <c:numCache>
                <c:formatCode>General</c:formatCode>
                <c:ptCount val="26"/>
                <c:pt idx="0">
                  <c:v>1</c:v>
                </c:pt>
                <c:pt idx="1">
                  <c:v>0.995</c:v>
                </c:pt>
                <c:pt idx="2">
                  <c:v>0.99099999999999999</c:v>
                </c:pt>
                <c:pt idx="3">
                  <c:v>0.98499999999999999</c:v>
                </c:pt>
                <c:pt idx="4">
                  <c:v>0.98</c:v>
                </c:pt>
                <c:pt idx="5">
                  <c:v>0.97399999999999998</c:v>
                </c:pt>
                <c:pt idx="6">
                  <c:v>0.97</c:v>
                </c:pt>
                <c:pt idx="7">
                  <c:v>0.96399999999999997</c:v>
                </c:pt>
                <c:pt idx="8">
                  <c:v>0.96099999999999997</c:v>
                </c:pt>
                <c:pt idx="9">
                  <c:v>0.95599999999999996</c:v>
                </c:pt>
                <c:pt idx="10">
                  <c:v>0.95099999999999996</c:v>
                </c:pt>
                <c:pt idx="11">
                  <c:v>0.94899999999999995</c:v>
                </c:pt>
                <c:pt idx="12">
                  <c:v>0.94499999999999995</c:v>
                </c:pt>
                <c:pt idx="13">
                  <c:v>0.94099999999999995</c:v>
                </c:pt>
                <c:pt idx="14">
                  <c:v>0.93700000000000006</c:v>
                </c:pt>
                <c:pt idx="15">
                  <c:v>0.93200000000000005</c:v>
                </c:pt>
                <c:pt idx="16">
                  <c:v>0.92900000000000005</c:v>
                </c:pt>
                <c:pt idx="17">
                  <c:v>0.92500000000000004</c:v>
                </c:pt>
                <c:pt idx="18">
                  <c:v>0.92100000000000004</c:v>
                </c:pt>
                <c:pt idx="19">
                  <c:v>0.91800000000000004</c:v>
                </c:pt>
                <c:pt idx="20">
                  <c:v>0.91300000000000003</c:v>
                </c:pt>
                <c:pt idx="21">
                  <c:v>0.90900000000000003</c:v>
                </c:pt>
                <c:pt idx="22">
                  <c:v>0.90400000000000003</c:v>
                </c:pt>
                <c:pt idx="23">
                  <c:v>0.9</c:v>
                </c:pt>
                <c:pt idx="24">
                  <c:v>0.89500000000000002</c:v>
                </c:pt>
                <c:pt idx="25">
                  <c:v>0.89</c:v>
                </c:pt>
              </c:numCache>
            </c:numRef>
          </c:val>
        </c:ser>
        <c:ser>
          <c:idx val="1"/>
          <c:order val="1"/>
          <c:tx>
            <c:v>T = 100 F</c:v>
          </c:tx>
          <c:spPr>
            <a:ln w="12700">
              <a:solidFill>
                <a:srgbClr val="FF00FF"/>
              </a:solidFill>
              <a:prstDash val="solid"/>
            </a:ln>
          </c:spPr>
          <c:marker>
            <c:symbol val="square"/>
            <c:size val="5"/>
            <c:spPr>
              <a:solidFill>
                <a:srgbClr val="FF00FF"/>
              </a:solidFill>
              <a:ln>
                <a:solidFill>
                  <a:srgbClr val="FF00FF"/>
                </a:solidFill>
                <a:prstDash val="solid"/>
              </a:ln>
            </c:spPr>
          </c:marker>
          <c:trendline>
            <c:spPr>
              <a:ln w="25400">
                <a:solidFill>
                  <a:srgbClr val="000000"/>
                </a:solidFill>
                <a:prstDash val="solid"/>
              </a:ln>
            </c:spPr>
            <c:trendlineType val="poly"/>
            <c:order val="3"/>
          </c:trendline>
          <c:val>
            <c:numRef>
              <c:f>'DATA - MW = 17.40 (Sp Gr= 0.6)'!$L$8:$L$33</c:f>
              <c:numCache>
                <c:formatCode>General</c:formatCode>
                <c:ptCount val="26"/>
                <c:pt idx="0">
                  <c:v>1</c:v>
                </c:pt>
                <c:pt idx="1">
                  <c:v>0.99199999999999999</c:v>
                </c:pt>
                <c:pt idx="2">
                  <c:v>0.98499999999999999</c:v>
                </c:pt>
                <c:pt idx="3">
                  <c:v>0.97899999999999998</c:v>
                </c:pt>
                <c:pt idx="4">
                  <c:v>0.97099999999999997</c:v>
                </c:pt>
                <c:pt idx="5">
                  <c:v>0.96299999999999997</c:v>
                </c:pt>
                <c:pt idx="6">
                  <c:v>0.95699999999999996</c:v>
                </c:pt>
                <c:pt idx="7">
                  <c:v>0.95199999999999996</c:v>
                </c:pt>
                <c:pt idx="8">
                  <c:v>0.94799999999999995</c:v>
                </c:pt>
                <c:pt idx="9">
                  <c:v>0.94299999999999995</c:v>
                </c:pt>
                <c:pt idx="10">
                  <c:v>0.93500000000000005</c:v>
                </c:pt>
                <c:pt idx="11">
                  <c:v>0.93</c:v>
                </c:pt>
                <c:pt idx="12">
                  <c:v>0.92400000000000004</c:v>
                </c:pt>
                <c:pt idx="13">
                  <c:v>0.91900000000000004</c:v>
                </c:pt>
                <c:pt idx="14">
                  <c:v>0.91400000000000003</c:v>
                </c:pt>
                <c:pt idx="15">
                  <c:v>0.90600000000000003</c:v>
                </c:pt>
                <c:pt idx="16">
                  <c:v>0.9</c:v>
                </c:pt>
                <c:pt idx="17">
                  <c:v>0.89200000000000002</c:v>
                </c:pt>
                <c:pt idx="18">
                  <c:v>0.88600000000000001</c:v>
                </c:pt>
                <c:pt idx="19">
                  <c:v>0.88</c:v>
                </c:pt>
                <c:pt idx="20">
                  <c:v>0.871</c:v>
                </c:pt>
                <c:pt idx="21">
                  <c:v>0.86499999999999999</c:v>
                </c:pt>
                <c:pt idx="22">
                  <c:v>0.86</c:v>
                </c:pt>
                <c:pt idx="23">
                  <c:v>0.85499999999999998</c:v>
                </c:pt>
                <c:pt idx="24">
                  <c:v>0.85</c:v>
                </c:pt>
                <c:pt idx="25">
                  <c:v>0.84499999999999997</c:v>
                </c:pt>
              </c:numCache>
            </c:numRef>
          </c:val>
        </c:ser>
        <c:ser>
          <c:idx val="2"/>
          <c:order val="2"/>
          <c:tx>
            <c:v>T = 75 F</c:v>
          </c:tx>
          <c:spPr>
            <a:ln w="12700">
              <a:solidFill>
                <a:srgbClr val="FFFF00"/>
              </a:solidFill>
              <a:prstDash val="solid"/>
            </a:ln>
          </c:spPr>
          <c:marker>
            <c:symbol val="triangle"/>
            <c:size val="5"/>
            <c:spPr>
              <a:solidFill>
                <a:srgbClr val="FFFF00"/>
              </a:solidFill>
              <a:ln>
                <a:solidFill>
                  <a:srgbClr val="FFFF00"/>
                </a:solidFill>
                <a:prstDash val="solid"/>
              </a:ln>
            </c:spPr>
          </c:marker>
          <c:trendline>
            <c:spPr>
              <a:ln w="25400">
                <a:solidFill>
                  <a:srgbClr val="000000"/>
                </a:solidFill>
                <a:prstDash val="solid"/>
              </a:ln>
            </c:spPr>
            <c:trendlineType val="poly"/>
            <c:order val="3"/>
          </c:trendline>
          <c:val>
            <c:numRef>
              <c:f>'DATA - MW = 17.40 (Sp Gr= 0.6)'!$Q$8:$Q$33</c:f>
              <c:numCache>
                <c:formatCode>General</c:formatCode>
                <c:ptCount val="26"/>
                <c:pt idx="0">
                  <c:v>1</c:v>
                </c:pt>
                <c:pt idx="1">
                  <c:v>0.99</c:v>
                </c:pt>
                <c:pt idx="2">
                  <c:v>0.98199999999999998</c:v>
                </c:pt>
                <c:pt idx="3">
                  <c:v>0.97399999999999998</c:v>
                </c:pt>
                <c:pt idx="4">
                  <c:v>0.96699999999999997</c:v>
                </c:pt>
                <c:pt idx="5">
                  <c:v>0.96</c:v>
                </c:pt>
                <c:pt idx="6">
                  <c:v>0.95299999999999996</c:v>
                </c:pt>
                <c:pt idx="7">
                  <c:v>0.94699999999999995</c:v>
                </c:pt>
                <c:pt idx="8">
                  <c:v>0.94</c:v>
                </c:pt>
                <c:pt idx="9">
                  <c:v>0.93200000000000005</c:v>
                </c:pt>
                <c:pt idx="10">
                  <c:v>0.92500000000000004</c:v>
                </c:pt>
                <c:pt idx="11">
                  <c:v>0.92</c:v>
                </c:pt>
                <c:pt idx="12">
                  <c:v>0.91100000000000003</c:v>
                </c:pt>
                <c:pt idx="13">
                  <c:v>0.90100000000000002</c:v>
                </c:pt>
                <c:pt idx="14">
                  <c:v>0.89500000000000002</c:v>
                </c:pt>
                <c:pt idx="15">
                  <c:v>0.88700000000000001</c:v>
                </c:pt>
                <c:pt idx="16">
                  <c:v>0.88</c:v>
                </c:pt>
                <c:pt idx="17">
                  <c:v>0.872</c:v>
                </c:pt>
                <c:pt idx="18">
                  <c:v>0.86499999999999999</c:v>
                </c:pt>
                <c:pt idx="19">
                  <c:v>0.85899999999999999</c:v>
                </c:pt>
                <c:pt idx="20">
                  <c:v>0.85099999999999998</c:v>
                </c:pt>
                <c:pt idx="21">
                  <c:v>0.84</c:v>
                </c:pt>
                <c:pt idx="22">
                  <c:v>0.83399999999999996</c:v>
                </c:pt>
                <c:pt idx="23">
                  <c:v>0.82899999999999996</c:v>
                </c:pt>
                <c:pt idx="24">
                  <c:v>0.82299999999999995</c:v>
                </c:pt>
                <c:pt idx="25">
                  <c:v>0.81899999999999995</c:v>
                </c:pt>
              </c:numCache>
            </c:numRef>
          </c:val>
        </c:ser>
        <c:ser>
          <c:idx val="3"/>
          <c:order val="3"/>
          <c:tx>
            <c:v>T = 50 F</c:v>
          </c:tx>
          <c:spPr>
            <a:ln w="12700">
              <a:solidFill>
                <a:srgbClr val="00FFFF"/>
              </a:solidFill>
              <a:prstDash val="solid"/>
            </a:ln>
          </c:spPr>
          <c:marker>
            <c:symbol val="x"/>
            <c:size val="5"/>
            <c:spPr>
              <a:noFill/>
              <a:ln>
                <a:solidFill>
                  <a:srgbClr val="00FFFF"/>
                </a:solidFill>
                <a:prstDash val="solid"/>
              </a:ln>
            </c:spPr>
          </c:marker>
          <c:trendline>
            <c:spPr>
              <a:ln w="25400">
                <a:solidFill>
                  <a:srgbClr val="000000"/>
                </a:solidFill>
                <a:prstDash val="solid"/>
              </a:ln>
            </c:spPr>
            <c:trendlineType val="poly"/>
            <c:order val="3"/>
          </c:trendline>
          <c:val>
            <c:numRef>
              <c:f>'DATA - MW = 17.40 (Sp Gr= 0.6)'!$V$8:$V$33</c:f>
              <c:numCache>
                <c:formatCode>General</c:formatCode>
                <c:ptCount val="26"/>
                <c:pt idx="0">
                  <c:v>1</c:v>
                </c:pt>
                <c:pt idx="1">
                  <c:v>0.98499999999999999</c:v>
                </c:pt>
                <c:pt idx="2">
                  <c:v>0.97499999999999998</c:v>
                </c:pt>
                <c:pt idx="3">
                  <c:v>0.96699999999999997</c:v>
                </c:pt>
                <c:pt idx="4">
                  <c:v>0.96</c:v>
                </c:pt>
                <c:pt idx="5">
                  <c:v>0.95</c:v>
                </c:pt>
                <c:pt idx="6">
                  <c:v>0.94199999999999995</c:v>
                </c:pt>
                <c:pt idx="7">
                  <c:v>0.93500000000000005</c:v>
                </c:pt>
                <c:pt idx="8">
                  <c:v>0.92800000000000005</c:v>
                </c:pt>
                <c:pt idx="9">
                  <c:v>0.91900000000000004</c:v>
                </c:pt>
                <c:pt idx="10">
                  <c:v>0.91</c:v>
                </c:pt>
                <c:pt idx="11">
                  <c:v>0.9</c:v>
                </c:pt>
                <c:pt idx="12">
                  <c:v>0.89</c:v>
                </c:pt>
                <c:pt idx="13">
                  <c:v>0.88</c:v>
                </c:pt>
                <c:pt idx="14">
                  <c:v>0.872</c:v>
                </c:pt>
                <c:pt idx="15">
                  <c:v>0.86399999999999999</c:v>
                </c:pt>
                <c:pt idx="16">
                  <c:v>0.85499999999999998</c:v>
                </c:pt>
                <c:pt idx="17">
                  <c:v>0.84499999999999997</c:v>
                </c:pt>
                <c:pt idx="18">
                  <c:v>0.83599999999999997</c:v>
                </c:pt>
                <c:pt idx="19">
                  <c:v>0.82799999999999996</c:v>
                </c:pt>
                <c:pt idx="20">
                  <c:v>0.81899999999999995</c:v>
                </c:pt>
                <c:pt idx="21">
                  <c:v>0.81</c:v>
                </c:pt>
                <c:pt idx="22">
                  <c:v>0.80100000000000005</c:v>
                </c:pt>
                <c:pt idx="23">
                  <c:v>0.79200000000000004</c:v>
                </c:pt>
                <c:pt idx="24">
                  <c:v>0.78600000000000003</c:v>
                </c:pt>
                <c:pt idx="25">
                  <c:v>0.78</c:v>
                </c:pt>
              </c:numCache>
            </c:numRef>
          </c:val>
        </c:ser>
        <c:ser>
          <c:idx val="4"/>
          <c:order val="4"/>
          <c:tx>
            <c:v>T = 25 F</c:v>
          </c:tx>
          <c:spPr>
            <a:ln w="12700">
              <a:solidFill>
                <a:srgbClr val="800080"/>
              </a:solidFill>
              <a:prstDash val="solid"/>
            </a:ln>
          </c:spPr>
          <c:marker>
            <c:symbol val="star"/>
            <c:size val="5"/>
            <c:spPr>
              <a:noFill/>
              <a:ln>
                <a:solidFill>
                  <a:srgbClr val="800080"/>
                </a:solidFill>
                <a:prstDash val="solid"/>
              </a:ln>
            </c:spPr>
          </c:marker>
          <c:trendline>
            <c:spPr>
              <a:ln w="25400">
                <a:solidFill>
                  <a:srgbClr val="000000"/>
                </a:solidFill>
                <a:prstDash val="solid"/>
              </a:ln>
            </c:spPr>
            <c:trendlineType val="poly"/>
            <c:order val="3"/>
          </c:trendline>
          <c:val>
            <c:numRef>
              <c:f>'DATA - MW = 17.40 (Sp Gr= 0.6)'!$AA$8:$AA$33</c:f>
              <c:numCache>
                <c:formatCode>General</c:formatCode>
                <c:ptCount val="26"/>
                <c:pt idx="0">
                  <c:v>1</c:v>
                </c:pt>
                <c:pt idx="1">
                  <c:v>0.98199999999999998</c:v>
                </c:pt>
                <c:pt idx="2">
                  <c:v>0.97199999999999998</c:v>
                </c:pt>
                <c:pt idx="3">
                  <c:v>0.96499999999999997</c:v>
                </c:pt>
                <c:pt idx="4">
                  <c:v>0.95599999999999996</c:v>
                </c:pt>
                <c:pt idx="5">
                  <c:v>0.94599999999999995</c:v>
                </c:pt>
                <c:pt idx="6">
                  <c:v>0.93600000000000005</c:v>
                </c:pt>
                <c:pt idx="7">
                  <c:v>0.92700000000000005</c:v>
                </c:pt>
                <c:pt idx="8">
                  <c:v>0.91600000000000004</c:v>
                </c:pt>
                <c:pt idx="9">
                  <c:v>0.90400000000000003</c:v>
                </c:pt>
                <c:pt idx="10">
                  <c:v>0.89300000000000002</c:v>
                </c:pt>
                <c:pt idx="11">
                  <c:v>0.88200000000000001</c:v>
                </c:pt>
                <c:pt idx="12">
                  <c:v>0.872</c:v>
                </c:pt>
                <c:pt idx="13">
                  <c:v>0.86099999999999999</c:v>
                </c:pt>
                <c:pt idx="14">
                  <c:v>0.85</c:v>
                </c:pt>
                <c:pt idx="15">
                  <c:v>0.83899999999999997</c:v>
                </c:pt>
                <c:pt idx="16">
                  <c:v>0.83</c:v>
                </c:pt>
                <c:pt idx="17">
                  <c:v>0.82</c:v>
                </c:pt>
                <c:pt idx="18">
                  <c:v>0.80900000000000005</c:v>
                </c:pt>
                <c:pt idx="19">
                  <c:v>0.79500000000000004</c:v>
                </c:pt>
                <c:pt idx="20">
                  <c:v>0.78400000000000003</c:v>
                </c:pt>
                <c:pt idx="21">
                  <c:v>0.77400000000000002</c:v>
                </c:pt>
                <c:pt idx="22">
                  <c:v>0.76100000000000001</c:v>
                </c:pt>
                <c:pt idx="23">
                  <c:v>0.752</c:v>
                </c:pt>
                <c:pt idx="24">
                  <c:v>0.74399999999999999</c:v>
                </c:pt>
                <c:pt idx="25">
                  <c:v>0.73899999999999999</c:v>
                </c:pt>
              </c:numCache>
            </c:numRef>
          </c:val>
        </c:ser>
        <c:ser>
          <c:idx val="5"/>
          <c:order val="5"/>
          <c:tx>
            <c:v>T = 0 F</c:v>
          </c:tx>
          <c:spPr>
            <a:ln w="12700">
              <a:solidFill>
                <a:srgbClr val="800000"/>
              </a:solidFill>
              <a:prstDash val="solid"/>
            </a:ln>
          </c:spPr>
          <c:marker>
            <c:symbol val="circle"/>
            <c:size val="5"/>
            <c:spPr>
              <a:solidFill>
                <a:srgbClr val="800000"/>
              </a:solidFill>
              <a:ln>
                <a:solidFill>
                  <a:srgbClr val="800000"/>
                </a:solidFill>
                <a:prstDash val="solid"/>
              </a:ln>
            </c:spPr>
          </c:marker>
          <c:trendline>
            <c:spPr>
              <a:ln w="25400">
                <a:solidFill>
                  <a:srgbClr val="000000"/>
                </a:solidFill>
                <a:prstDash val="solid"/>
              </a:ln>
            </c:spPr>
            <c:trendlineType val="poly"/>
            <c:order val="3"/>
          </c:trendline>
          <c:val>
            <c:numRef>
              <c:f>'DATA - MW = 17.40 (Sp Gr= 0.6)'!$AF$8:$AF$33</c:f>
              <c:numCache>
                <c:formatCode>General</c:formatCode>
                <c:ptCount val="26"/>
                <c:pt idx="0">
                  <c:v>1</c:v>
                </c:pt>
                <c:pt idx="1">
                  <c:v>0.98</c:v>
                </c:pt>
                <c:pt idx="2">
                  <c:v>0.96599999999999997</c:v>
                </c:pt>
                <c:pt idx="3">
                  <c:v>0.95499999999999996</c:v>
                </c:pt>
                <c:pt idx="4">
                  <c:v>0.94199999999999995</c:v>
                </c:pt>
                <c:pt idx="5">
                  <c:v>0.92900000000000005</c:v>
                </c:pt>
                <c:pt idx="6">
                  <c:v>0.92</c:v>
                </c:pt>
                <c:pt idx="7">
                  <c:v>0.90600000000000003</c:v>
                </c:pt>
                <c:pt idx="8">
                  <c:v>0.89100000000000001</c:v>
                </c:pt>
                <c:pt idx="9">
                  <c:v>0.876</c:v>
                </c:pt>
                <c:pt idx="10">
                  <c:v>0.86299999999999999</c:v>
                </c:pt>
                <c:pt idx="11">
                  <c:v>0.85199999999999998</c:v>
                </c:pt>
                <c:pt idx="12">
                  <c:v>0.83799999999999997</c:v>
                </c:pt>
                <c:pt idx="13">
                  <c:v>0.82299999999999995</c:v>
                </c:pt>
                <c:pt idx="14">
                  <c:v>0.81200000000000006</c:v>
                </c:pt>
                <c:pt idx="15">
                  <c:v>0.8</c:v>
                </c:pt>
                <c:pt idx="16">
                  <c:v>0.78500000000000003</c:v>
                </c:pt>
                <c:pt idx="17">
                  <c:v>0.77100000000000002</c:v>
                </c:pt>
                <c:pt idx="18">
                  <c:v>0.75800000000000001</c:v>
                </c:pt>
                <c:pt idx="19">
                  <c:v>0.74099999999999999</c:v>
                </c:pt>
                <c:pt idx="20">
                  <c:v>0.72599999999999998</c:v>
                </c:pt>
                <c:pt idx="21">
                  <c:v>0.71399999999999997</c:v>
                </c:pt>
                <c:pt idx="22">
                  <c:v>0.70099999999999996</c:v>
                </c:pt>
                <c:pt idx="23">
                  <c:v>0.68899999999999995</c:v>
                </c:pt>
                <c:pt idx="24">
                  <c:v>0.67600000000000005</c:v>
                </c:pt>
                <c:pt idx="25">
                  <c:v>0.66700000000000004</c:v>
                </c:pt>
              </c:numCache>
            </c:numRef>
          </c:val>
        </c:ser>
        <c:ser>
          <c:idx val="6"/>
          <c:order val="6"/>
          <c:tx>
            <c:v>T = 125 F</c:v>
          </c:tx>
          <c:spPr>
            <a:ln w="12700">
              <a:solidFill>
                <a:srgbClr val="008080"/>
              </a:solidFill>
              <a:prstDash val="solid"/>
            </a:ln>
          </c:spPr>
          <c:marker>
            <c:symbol val="plus"/>
            <c:size val="5"/>
            <c:spPr>
              <a:noFill/>
              <a:ln>
                <a:solidFill>
                  <a:srgbClr val="008080"/>
                </a:solidFill>
                <a:prstDash val="solid"/>
              </a:ln>
            </c:spPr>
          </c:marker>
          <c:trendline>
            <c:spPr>
              <a:ln w="25400">
                <a:solidFill>
                  <a:srgbClr val="000000"/>
                </a:solidFill>
                <a:prstDash val="solid"/>
              </a:ln>
            </c:spPr>
            <c:trendlineType val="poly"/>
            <c:order val="3"/>
          </c:trendline>
          <c:val>
            <c:numRef>
              <c:f>'DATA - MW = 17.40 (Sp Gr= 0.6)'!$G$8:$G$33</c:f>
              <c:numCache>
                <c:formatCode>General</c:formatCode>
                <c:ptCount val="26"/>
                <c:pt idx="0">
                  <c:v>1</c:v>
                </c:pt>
                <c:pt idx="1">
                  <c:v>0.99350000000000005</c:v>
                </c:pt>
                <c:pt idx="2">
                  <c:v>0.98799999999999999</c:v>
                </c:pt>
                <c:pt idx="3">
                  <c:v>0.98199999999999998</c:v>
                </c:pt>
                <c:pt idx="4">
                  <c:v>0.97550000000000003</c:v>
                </c:pt>
                <c:pt idx="5">
                  <c:v>0.96849999999999992</c:v>
                </c:pt>
                <c:pt idx="6">
                  <c:v>0.96350000000000002</c:v>
                </c:pt>
                <c:pt idx="7">
                  <c:v>0.95799999999999996</c:v>
                </c:pt>
                <c:pt idx="8">
                  <c:v>0.9544999999999999</c:v>
                </c:pt>
                <c:pt idx="9">
                  <c:v>0.94950000000000001</c:v>
                </c:pt>
                <c:pt idx="10">
                  <c:v>0.94300000000000006</c:v>
                </c:pt>
                <c:pt idx="11">
                  <c:v>0.9395</c:v>
                </c:pt>
                <c:pt idx="12">
                  <c:v>0.9345</c:v>
                </c:pt>
                <c:pt idx="13">
                  <c:v>0.92999999999999994</c:v>
                </c:pt>
                <c:pt idx="14">
                  <c:v>0.92549999999999999</c:v>
                </c:pt>
                <c:pt idx="15">
                  <c:v>0.91900000000000004</c:v>
                </c:pt>
                <c:pt idx="16">
                  <c:v>0.91450000000000009</c:v>
                </c:pt>
                <c:pt idx="17">
                  <c:v>0.90850000000000009</c:v>
                </c:pt>
                <c:pt idx="18">
                  <c:v>0.90349999999999997</c:v>
                </c:pt>
                <c:pt idx="19">
                  <c:v>0.89900000000000002</c:v>
                </c:pt>
                <c:pt idx="20">
                  <c:v>0.89200000000000002</c:v>
                </c:pt>
                <c:pt idx="21">
                  <c:v>0.88700000000000001</c:v>
                </c:pt>
                <c:pt idx="22">
                  <c:v>0.88200000000000001</c:v>
                </c:pt>
                <c:pt idx="23">
                  <c:v>0.87749999999999995</c:v>
                </c:pt>
                <c:pt idx="24">
                  <c:v>0.87249999999999994</c:v>
                </c:pt>
                <c:pt idx="25">
                  <c:v>0.86749999999999994</c:v>
                </c:pt>
              </c:numCache>
            </c:numRef>
          </c:val>
        </c:ser>
        <c:marker val="1"/>
        <c:axId val="154759936"/>
        <c:axId val="154761856"/>
      </c:lineChart>
      <c:catAx>
        <c:axId val="154759936"/>
        <c:scaling>
          <c:orientation val="minMax"/>
        </c:scaling>
        <c:axPos val="b"/>
        <c:title>
          <c:tx>
            <c:rich>
              <a:bodyPr/>
              <a:lstStyle/>
              <a:p>
                <a:pPr>
                  <a:defRPr sz="1000" b="1" i="0" u="none" strike="noStrike" baseline="0">
                    <a:solidFill>
                      <a:srgbClr val="000000"/>
                    </a:solidFill>
                    <a:latin typeface="Arial"/>
                    <a:ea typeface="Arial"/>
                    <a:cs typeface="Arial"/>
                  </a:defRPr>
                </a:pPr>
                <a:r>
                  <a:rPr lang="en-US"/>
                  <a:t>Pressure (psig)</a:t>
                </a:r>
              </a:p>
            </c:rich>
          </c:tx>
          <c:layout>
            <c:manualLayout>
              <c:xMode val="edge"/>
              <c:yMode val="edge"/>
              <c:x val="0.40177580466148721"/>
              <c:y val="0.94453507340946163"/>
            </c:manualLayout>
          </c:layout>
          <c:spPr>
            <a:noFill/>
            <a:ln w="25400">
              <a:noFill/>
            </a:ln>
          </c:spPr>
        </c:title>
        <c:numFmt formatCode="General" sourceLinked="1"/>
        <c:minorTickMark val="cross"/>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54761856"/>
        <c:crossesAt val="0.65000000000000013"/>
        <c:auto val="1"/>
        <c:lblAlgn val="ctr"/>
        <c:lblOffset val="100"/>
        <c:tickLblSkip val="2"/>
        <c:tickMarkSkip val="1"/>
      </c:catAx>
      <c:valAx>
        <c:axId val="154761856"/>
        <c:scaling>
          <c:orientation val="minMax"/>
          <c:min val="0.65000000000000013"/>
        </c:scaling>
        <c:axPos val="l"/>
        <c:majorGridlines>
          <c:spPr>
            <a:ln w="3175">
              <a:solidFill>
                <a:srgbClr val="000000"/>
              </a:solidFill>
              <a:prstDash val="solid"/>
            </a:ln>
          </c:spPr>
        </c:majorGridlines>
        <c:title>
          <c:tx>
            <c:rich>
              <a:bodyPr/>
              <a:lstStyle/>
              <a:p>
                <a:pPr>
                  <a:defRPr sz="1000" b="1" i="0" u="none" strike="noStrike" baseline="0">
                    <a:solidFill>
                      <a:srgbClr val="000000"/>
                    </a:solidFill>
                    <a:latin typeface="Arial"/>
                    <a:ea typeface="Arial"/>
                    <a:cs typeface="Arial"/>
                  </a:defRPr>
                </a:pPr>
                <a:r>
                  <a:rPr lang="en-US"/>
                  <a:t>Z</a:t>
                </a:r>
              </a:p>
            </c:rich>
          </c:tx>
          <c:layout>
            <c:manualLayout>
              <c:xMode val="edge"/>
              <c:yMode val="edge"/>
              <c:x val="1.2208657047724751E-2"/>
              <c:y val="0.49918433931484518"/>
            </c:manualLayout>
          </c:layout>
          <c:spPr>
            <a:noFill/>
            <a:ln w="25400">
              <a:noFill/>
            </a:ln>
          </c:spPr>
        </c:title>
        <c:numFmt formatCode="General" sourceLinked="1"/>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54759936"/>
        <c:crosses val="autoZero"/>
        <c:crossBetween val="between"/>
      </c:valAx>
      <c:spPr>
        <a:solidFill>
          <a:srgbClr val="FFFFFF"/>
        </a:solidFill>
        <a:ln w="12700">
          <a:solidFill>
            <a:srgbClr val="808080"/>
          </a:solidFill>
          <a:prstDash val="solid"/>
        </a:ln>
      </c:spPr>
    </c:plotArea>
    <c:legend>
      <c:legendPos val="r"/>
      <c:layout>
        <c:manualLayout>
          <c:xMode val="edge"/>
          <c:yMode val="edge"/>
          <c:x val="0.84350721420643737"/>
          <c:y val="0.25122349102773245"/>
          <c:w val="0.15205327413984462"/>
          <c:h val="0.51549755301794442"/>
        </c:manualLayout>
      </c:layout>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n-US"/>
        </a:p>
      </c:txPr>
    </c:legend>
    <c:plotVisOnly val="1"/>
    <c:dispBlanksAs val="gap"/>
  </c:chart>
  <c:spPr>
    <a:noFill/>
    <a:ln w="9525">
      <a:noFill/>
    </a:ln>
  </c:spPr>
  <c:txPr>
    <a:bodyPr/>
    <a:lstStyle/>
    <a:p>
      <a:pPr>
        <a:defRPr sz="1000" b="0" i="0" u="none" strike="noStrike" baseline="0">
          <a:solidFill>
            <a:srgbClr val="000000"/>
          </a:solidFill>
          <a:latin typeface="Arial"/>
          <a:ea typeface="Arial"/>
          <a:cs typeface="Arial"/>
        </a:defRPr>
      </a:pPr>
      <a:endParaRPr lang="en-US"/>
    </a:p>
  </c:txPr>
</c:chartSpace>
</file>

<file path=xl/charts/chart4.xml><?xml version="1.0" encoding="utf-8"?>
<c:chartSpace xmlns:c="http://schemas.openxmlformats.org/drawingml/2006/chart" xmlns:a="http://schemas.openxmlformats.org/drawingml/2006/main" xmlns:r="http://schemas.openxmlformats.org/officeDocument/2006/relationships">
  <c:lang val="en-US"/>
  <c:protection/>
  <c:chart>
    <c:title>
      <c:tx>
        <c:rich>
          <a:bodyPr/>
          <a:lstStyle/>
          <a:p>
            <a:pPr>
              <a:defRPr sz="1200" b="1" i="0" u="none" strike="noStrike" baseline="0">
                <a:solidFill>
                  <a:srgbClr val="000000"/>
                </a:solidFill>
                <a:latin typeface="Arial"/>
                <a:ea typeface="Arial"/>
                <a:cs typeface="Arial"/>
              </a:defRPr>
            </a:pPr>
            <a:r>
              <a:rPr lang="en-US"/>
              <a:t>Compressibility (Sp Gr = 0.6, MW = 17.40)</a:t>
            </a:r>
          </a:p>
        </c:rich>
      </c:tx>
      <c:layout>
        <c:manualLayout>
          <c:xMode val="edge"/>
          <c:yMode val="edge"/>
          <c:x val="0.32519422863485026"/>
          <c:y val="1.9575856443719414E-2"/>
        </c:manualLayout>
      </c:layout>
      <c:spPr>
        <a:noFill/>
        <a:ln w="25400">
          <a:noFill/>
        </a:ln>
      </c:spPr>
    </c:title>
    <c:plotArea>
      <c:layout>
        <c:manualLayout>
          <c:layoutTarget val="inner"/>
          <c:xMode val="edge"/>
          <c:yMode val="edge"/>
          <c:x val="8.5460599334073267E-2"/>
          <c:y val="0.12234910277324634"/>
          <c:w val="0.75804661487236402"/>
          <c:h val="0.77324632952691674"/>
        </c:manualLayout>
      </c:layout>
      <c:lineChart>
        <c:grouping val="standard"/>
        <c:ser>
          <c:idx val="0"/>
          <c:order val="0"/>
          <c:tx>
            <c:v>T = 145</c:v>
          </c:tx>
          <c:spPr>
            <a:ln w="12700">
              <a:solidFill>
                <a:srgbClr val="000080"/>
              </a:solidFill>
              <a:prstDash val="solid"/>
            </a:ln>
          </c:spPr>
          <c:marker>
            <c:symbol val="diamond"/>
            <c:size val="5"/>
            <c:spPr>
              <a:solidFill>
                <a:srgbClr val="000080"/>
              </a:solidFill>
              <a:ln>
                <a:solidFill>
                  <a:srgbClr val="000080"/>
                </a:solidFill>
                <a:prstDash val="solid"/>
              </a:ln>
            </c:spPr>
          </c:marker>
          <c:trendline>
            <c:spPr>
              <a:ln w="25400">
                <a:solidFill>
                  <a:srgbClr val="000000"/>
                </a:solidFill>
                <a:prstDash val="solid"/>
              </a:ln>
            </c:spPr>
            <c:trendlineType val="poly"/>
            <c:order val="3"/>
          </c:trendline>
          <c:cat>
            <c:numRef>
              <c:f>'DATA - MW = 17.40 (Sp Gr= 0.6)'!$A$8:$A$33</c:f>
              <c:numCache>
                <c:formatCode>General</c:formatCode>
                <c:ptCount val="26"/>
                <c:pt idx="0">
                  <c:v>0</c:v>
                </c:pt>
                <c:pt idx="1">
                  <c:v>50</c:v>
                </c:pt>
                <c:pt idx="2">
                  <c:v>100</c:v>
                </c:pt>
                <c:pt idx="3">
                  <c:v>150</c:v>
                </c:pt>
                <c:pt idx="4">
                  <c:v>200</c:v>
                </c:pt>
                <c:pt idx="5">
                  <c:v>250</c:v>
                </c:pt>
                <c:pt idx="6">
                  <c:v>300</c:v>
                </c:pt>
                <c:pt idx="7">
                  <c:v>350</c:v>
                </c:pt>
                <c:pt idx="8">
                  <c:v>400</c:v>
                </c:pt>
                <c:pt idx="9">
                  <c:v>450</c:v>
                </c:pt>
                <c:pt idx="10">
                  <c:v>500</c:v>
                </c:pt>
                <c:pt idx="11">
                  <c:v>550</c:v>
                </c:pt>
                <c:pt idx="12">
                  <c:v>600</c:v>
                </c:pt>
                <c:pt idx="13">
                  <c:v>650</c:v>
                </c:pt>
                <c:pt idx="14">
                  <c:v>700</c:v>
                </c:pt>
                <c:pt idx="15">
                  <c:v>750</c:v>
                </c:pt>
                <c:pt idx="16">
                  <c:v>800</c:v>
                </c:pt>
                <c:pt idx="17">
                  <c:v>850</c:v>
                </c:pt>
                <c:pt idx="18">
                  <c:v>900</c:v>
                </c:pt>
                <c:pt idx="19">
                  <c:v>950</c:v>
                </c:pt>
                <c:pt idx="20">
                  <c:v>1000</c:v>
                </c:pt>
                <c:pt idx="21">
                  <c:v>1050</c:v>
                </c:pt>
                <c:pt idx="22">
                  <c:v>1100</c:v>
                </c:pt>
                <c:pt idx="23">
                  <c:v>1150</c:v>
                </c:pt>
                <c:pt idx="24">
                  <c:v>1200</c:v>
                </c:pt>
                <c:pt idx="25">
                  <c:v>1250</c:v>
                </c:pt>
              </c:numCache>
            </c:numRef>
          </c:cat>
          <c:val>
            <c:numRef>
              <c:f>'DATA - MW = 17.40 (Sp Gr= 0.6)'!$C$8:$C$33</c:f>
              <c:numCache>
                <c:formatCode>General</c:formatCode>
                <c:ptCount val="26"/>
                <c:pt idx="0">
                  <c:v>1</c:v>
                </c:pt>
                <c:pt idx="1">
                  <c:v>0.99470000000000003</c:v>
                </c:pt>
                <c:pt idx="2">
                  <c:v>0.99039999999999995</c:v>
                </c:pt>
                <c:pt idx="3">
                  <c:v>0.98439999999999994</c:v>
                </c:pt>
                <c:pt idx="4">
                  <c:v>0.97909999999999997</c:v>
                </c:pt>
                <c:pt idx="5">
                  <c:v>0.97289999999999999</c:v>
                </c:pt>
                <c:pt idx="6">
                  <c:v>0.96870000000000001</c:v>
                </c:pt>
                <c:pt idx="7">
                  <c:v>0.96279999999999999</c:v>
                </c:pt>
                <c:pt idx="8">
                  <c:v>0.9597</c:v>
                </c:pt>
                <c:pt idx="9">
                  <c:v>0.95469999999999999</c:v>
                </c:pt>
                <c:pt idx="10">
                  <c:v>0.94940000000000002</c:v>
                </c:pt>
                <c:pt idx="11">
                  <c:v>0.94709999999999994</c:v>
                </c:pt>
                <c:pt idx="12">
                  <c:v>0.94289999999999996</c:v>
                </c:pt>
                <c:pt idx="13">
                  <c:v>0.93879999999999997</c:v>
                </c:pt>
                <c:pt idx="14">
                  <c:v>0.93470000000000009</c:v>
                </c:pt>
                <c:pt idx="15">
                  <c:v>0.9294</c:v>
                </c:pt>
                <c:pt idx="16">
                  <c:v>0.92610000000000003</c:v>
                </c:pt>
                <c:pt idx="17">
                  <c:v>0.92170000000000007</c:v>
                </c:pt>
                <c:pt idx="18">
                  <c:v>0.91749999999999998</c:v>
                </c:pt>
                <c:pt idx="19">
                  <c:v>0.91420000000000001</c:v>
                </c:pt>
                <c:pt idx="20">
                  <c:v>0.90880000000000005</c:v>
                </c:pt>
                <c:pt idx="21">
                  <c:v>0.90460000000000007</c:v>
                </c:pt>
                <c:pt idx="22">
                  <c:v>0.89960000000000007</c:v>
                </c:pt>
                <c:pt idx="23">
                  <c:v>0.89549999999999996</c:v>
                </c:pt>
                <c:pt idx="24">
                  <c:v>0.89050000000000007</c:v>
                </c:pt>
                <c:pt idx="25">
                  <c:v>0.88549999999999995</c:v>
                </c:pt>
              </c:numCache>
            </c:numRef>
          </c:val>
        </c:ser>
        <c:ser>
          <c:idx val="1"/>
          <c:order val="1"/>
          <c:tx>
            <c:v>T = 140</c:v>
          </c:tx>
          <c:spPr>
            <a:ln w="12700">
              <a:solidFill>
                <a:srgbClr val="FF00FF"/>
              </a:solidFill>
              <a:prstDash val="solid"/>
            </a:ln>
          </c:spPr>
          <c:marker>
            <c:symbol val="square"/>
            <c:size val="5"/>
            <c:spPr>
              <a:solidFill>
                <a:srgbClr val="FF00FF"/>
              </a:solidFill>
              <a:ln>
                <a:solidFill>
                  <a:srgbClr val="FF00FF"/>
                </a:solidFill>
                <a:prstDash val="solid"/>
              </a:ln>
            </c:spPr>
          </c:marker>
          <c:trendline>
            <c:spPr>
              <a:ln w="25400">
                <a:solidFill>
                  <a:srgbClr val="000000"/>
                </a:solidFill>
                <a:prstDash val="solid"/>
              </a:ln>
            </c:spPr>
            <c:trendlineType val="poly"/>
            <c:order val="3"/>
          </c:trendline>
          <c:val>
            <c:numRef>
              <c:f>'DATA - MW = 17.40 (Sp Gr= 0.6)'!$D$8:$D$33</c:f>
              <c:numCache>
                <c:formatCode>General</c:formatCode>
                <c:ptCount val="26"/>
                <c:pt idx="0">
                  <c:v>1</c:v>
                </c:pt>
                <c:pt idx="1">
                  <c:v>0.99439999999999995</c:v>
                </c:pt>
                <c:pt idx="2">
                  <c:v>0.98980000000000001</c:v>
                </c:pt>
                <c:pt idx="3">
                  <c:v>0.98380000000000001</c:v>
                </c:pt>
                <c:pt idx="4">
                  <c:v>0.97819999999999996</c:v>
                </c:pt>
                <c:pt idx="5">
                  <c:v>0.9718</c:v>
                </c:pt>
                <c:pt idx="6">
                  <c:v>0.96739999999999993</c:v>
                </c:pt>
                <c:pt idx="7">
                  <c:v>0.96160000000000001</c:v>
                </c:pt>
                <c:pt idx="8">
                  <c:v>0.95839999999999992</c:v>
                </c:pt>
                <c:pt idx="9">
                  <c:v>0.95339999999999991</c:v>
                </c:pt>
                <c:pt idx="10">
                  <c:v>0.94779999999999998</c:v>
                </c:pt>
                <c:pt idx="11">
                  <c:v>0.94519999999999993</c:v>
                </c:pt>
                <c:pt idx="12">
                  <c:v>0.94079999999999997</c:v>
                </c:pt>
                <c:pt idx="13">
                  <c:v>0.93659999999999999</c:v>
                </c:pt>
                <c:pt idx="14">
                  <c:v>0.93240000000000001</c:v>
                </c:pt>
                <c:pt idx="15">
                  <c:v>0.92680000000000007</c:v>
                </c:pt>
                <c:pt idx="16">
                  <c:v>0.92320000000000002</c:v>
                </c:pt>
                <c:pt idx="17">
                  <c:v>0.91839999999999999</c:v>
                </c:pt>
                <c:pt idx="18">
                  <c:v>0.91400000000000003</c:v>
                </c:pt>
                <c:pt idx="19">
                  <c:v>0.91039999999999999</c:v>
                </c:pt>
                <c:pt idx="20">
                  <c:v>0.90460000000000007</c:v>
                </c:pt>
                <c:pt idx="21">
                  <c:v>0.9002</c:v>
                </c:pt>
                <c:pt idx="22">
                  <c:v>0.8952</c:v>
                </c:pt>
                <c:pt idx="23">
                  <c:v>0.89100000000000001</c:v>
                </c:pt>
                <c:pt idx="24">
                  <c:v>0.88600000000000001</c:v>
                </c:pt>
                <c:pt idx="25">
                  <c:v>0.88100000000000001</c:v>
                </c:pt>
              </c:numCache>
            </c:numRef>
          </c:val>
        </c:ser>
        <c:ser>
          <c:idx val="2"/>
          <c:order val="2"/>
          <c:tx>
            <c:v>T = 135</c:v>
          </c:tx>
          <c:spPr>
            <a:ln w="12700">
              <a:solidFill>
                <a:srgbClr val="FFFF00"/>
              </a:solidFill>
              <a:prstDash val="solid"/>
            </a:ln>
          </c:spPr>
          <c:marker>
            <c:symbol val="triangle"/>
            <c:size val="5"/>
            <c:spPr>
              <a:solidFill>
                <a:srgbClr val="FFFF00"/>
              </a:solidFill>
              <a:ln>
                <a:solidFill>
                  <a:srgbClr val="FFFF00"/>
                </a:solidFill>
                <a:prstDash val="solid"/>
              </a:ln>
            </c:spPr>
          </c:marker>
          <c:trendline>
            <c:spPr>
              <a:ln w="25400">
                <a:solidFill>
                  <a:srgbClr val="000000"/>
                </a:solidFill>
                <a:prstDash val="solid"/>
              </a:ln>
            </c:spPr>
            <c:trendlineType val="poly"/>
            <c:order val="3"/>
          </c:trendline>
          <c:val>
            <c:numRef>
              <c:f>'DATA - MW = 17.40 (Sp Gr= 0.6)'!$E$8:$E$33</c:f>
              <c:numCache>
                <c:formatCode>General</c:formatCode>
                <c:ptCount val="26"/>
                <c:pt idx="0">
                  <c:v>1</c:v>
                </c:pt>
                <c:pt idx="1">
                  <c:v>0.99409999999999998</c:v>
                </c:pt>
                <c:pt idx="2">
                  <c:v>0.98919999999999997</c:v>
                </c:pt>
                <c:pt idx="3">
                  <c:v>0.98319999999999996</c:v>
                </c:pt>
                <c:pt idx="4">
                  <c:v>0.97729999999999995</c:v>
                </c:pt>
                <c:pt idx="5">
                  <c:v>0.97070000000000001</c:v>
                </c:pt>
                <c:pt idx="6">
                  <c:v>0.96609999999999996</c:v>
                </c:pt>
                <c:pt idx="7">
                  <c:v>0.96039999999999992</c:v>
                </c:pt>
                <c:pt idx="8">
                  <c:v>0.95709999999999995</c:v>
                </c:pt>
                <c:pt idx="9">
                  <c:v>0.95209999999999995</c:v>
                </c:pt>
                <c:pt idx="10">
                  <c:v>0.94619999999999993</c:v>
                </c:pt>
                <c:pt idx="11">
                  <c:v>0.94330000000000003</c:v>
                </c:pt>
                <c:pt idx="12">
                  <c:v>0.93869999999999998</c:v>
                </c:pt>
                <c:pt idx="13">
                  <c:v>0.93440000000000001</c:v>
                </c:pt>
                <c:pt idx="14">
                  <c:v>0.93010000000000004</c:v>
                </c:pt>
                <c:pt idx="15">
                  <c:v>0.92420000000000002</c:v>
                </c:pt>
                <c:pt idx="16">
                  <c:v>0.92030000000000001</c:v>
                </c:pt>
                <c:pt idx="17">
                  <c:v>0.91510000000000002</c:v>
                </c:pt>
                <c:pt idx="18">
                  <c:v>0.91049999999999998</c:v>
                </c:pt>
                <c:pt idx="19">
                  <c:v>0.90660000000000007</c:v>
                </c:pt>
                <c:pt idx="20">
                  <c:v>0.90039999999999998</c:v>
                </c:pt>
                <c:pt idx="21">
                  <c:v>0.89580000000000004</c:v>
                </c:pt>
                <c:pt idx="22">
                  <c:v>0.89080000000000004</c:v>
                </c:pt>
                <c:pt idx="23">
                  <c:v>0.88650000000000007</c:v>
                </c:pt>
                <c:pt idx="24">
                  <c:v>0.88149999999999995</c:v>
                </c:pt>
                <c:pt idx="25">
                  <c:v>0.87650000000000006</c:v>
                </c:pt>
              </c:numCache>
            </c:numRef>
          </c:val>
        </c:ser>
        <c:ser>
          <c:idx val="3"/>
          <c:order val="3"/>
          <c:tx>
            <c:v>T = 130</c:v>
          </c:tx>
          <c:spPr>
            <a:ln w="12700">
              <a:solidFill>
                <a:srgbClr val="00FFFF"/>
              </a:solidFill>
              <a:prstDash val="solid"/>
            </a:ln>
          </c:spPr>
          <c:marker>
            <c:symbol val="x"/>
            <c:size val="5"/>
            <c:spPr>
              <a:noFill/>
              <a:ln>
                <a:solidFill>
                  <a:srgbClr val="00FFFF"/>
                </a:solidFill>
                <a:prstDash val="solid"/>
              </a:ln>
            </c:spPr>
          </c:marker>
          <c:trendline>
            <c:spPr>
              <a:ln w="25400">
                <a:solidFill>
                  <a:srgbClr val="000000"/>
                </a:solidFill>
                <a:prstDash val="solid"/>
              </a:ln>
            </c:spPr>
            <c:trendlineType val="poly"/>
            <c:order val="3"/>
          </c:trendline>
          <c:val>
            <c:numRef>
              <c:f>'DATA - MW = 17.40 (Sp Gr= 0.6)'!$F$8:$F$33</c:f>
              <c:numCache>
                <c:formatCode>General</c:formatCode>
                <c:ptCount val="26"/>
                <c:pt idx="0">
                  <c:v>1</c:v>
                </c:pt>
                <c:pt idx="1">
                  <c:v>0.99380000000000002</c:v>
                </c:pt>
                <c:pt idx="2">
                  <c:v>0.98860000000000003</c:v>
                </c:pt>
                <c:pt idx="3">
                  <c:v>0.98260000000000003</c:v>
                </c:pt>
                <c:pt idx="4">
                  <c:v>0.97639999999999993</c:v>
                </c:pt>
                <c:pt idx="5">
                  <c:v>0.96960000000000002</c:v>
                </c:pt>
                <c:pt idx="6">
                  <c:v>0.96479999999999999</c:v>
                </c:pt>
                <c:pt idx="7">
                  <c:v>0.95919999999999994</c:v>
                </c:pt>
                <c:pt idx="8">
                  <c:v>0.95579999999999998</c:v>
                </c:pt>
                <c:pt idx="9">
                  <c:v>0.95079999999999998</c:v>
                </c:pt>
                <c:pt idx="10">
                  <c:v>0.9446</c:v>
                </c:pt>
                <c:pt idx="11">
                  <c:v>0.94140000000000001</c:v>
                </c:pt>
                <c:pt idx="12">
                  <c:v>0.93659999999999999</c:v>
                </c:pt>
                <c:pt idx="13">
                  <c:v>0.93220000000000003</c:v>
                </c:pt>
                <c:pt idx="14">
                  <c:v>0.92780000000000007</c:v>
                </c:pt>
                <c:pt idx="15">
                  <c:v>0.92160000000000009</c:v>
                </c:pt>
                <c:pt idx="16">
                  <c:v>0.91739999999999999</c:v>
                </c:pt>
                <c:pt idx="17">
                  <c:v>0.91180000000000005</c:v>
                </c:pt>
                <c:pt idx="18">
                  <c:v>0.90700000000000003</c:v>
                </c:pt>
                <c:pt idx="19">
                  <c:v>0.90280000000000005</c:v>
                </c:pt>
                <c:pt idx="20">
                  <c:v>0.8962</c:v>
                </c:pt>
                <c:pt idx="21">
                  <c:v>0.89139999999999997</c:v>
                </c:pt>
                <c:pt idx="22">
                  <c:v>0.88639999999999997</c:v>
                </c:pt>
                <c:pt idx="23">
                  <c:v>0.88200000000000001</c:v>
                </c:pt>
                <c:pt idx="24">
                  <c:v>0.877</c:v>
                </c:pt>
                <c:pt idx="25">
                  <c:v>0.872</c:v>
                </c:pt>
              </c:numCache>
            </c:numRef>
          </c:val>
        </c:ser>
        <c:ser>
          <c:idx val="4"/>
          <c:order val="4"/>
          <c:tx>
            <c:v>T = 120</c:v>
          </c:tx>
          <c:spPr>
            <a:ln w="12700">
              <a:solidFill>
                <a:srgbClr val="800080"/>
              </a:solidFill>
              <a:prstDash val="solid"/>
            </a:ln>
          </c:spPr>
          <c:marker>
            <c:symbol val="star"/>
            <c:size val="5"/>
            <c:spPr>
              <a:noFill/>
              <a:ln>
                <a:solidFill>
                  <a:srgbClr val="800080"/>
                </a:solidFill>
                <a:prstDash val="solid"/>
              </a:ln>
            </c:spPr>
          </c:marker>
          <c:trendline>
            <c:spPr>
              <a:ln w="25400">
                <a:solidFill>
                  <a:srgbClr val="000000"/>
                </a:solidFill>
                <a:prstDash val="solid"/>
              </a:ln>
            </c:spPr>
            <c:trendlineType val="poly"/>
            <c:order val="3"/>
          </c:trendline>
          <c:val>
            <c:numRef>
              <c:f>'DATA - MW = 17.40 (Sp Gr= 0.6)'!$H$8:$H$33</c:f>
              <c:numCache>
                <c:formatCode>General</c:formatCode>
                <c:ptCount val="26"/>
                <c:pt idx="0">
                  <c:v>1</c:v>
                </c:pt>
                <c:pt idx="1">
                  <c:v>0.99319999999999997</c:v>
                </c:pt>
                <c:pt idx="2">
                  <c:v>0.98739999999999994</c:v>
                </c:pt>
                <c:pt idx="3">
                  <c:v>0.98139999999999994</c:v>
                </c:pt>
                <c:pt idx="4">
                  <c:v>0.97460000000000002</c:v>
                </c:pt>
                <c:pt idx="5">
                  <c:v>0.96739999999999993</c:v>
                </c:pt>
                <c:pt idx="6">
                  <c:v>0.96219999999999994</c:v>
                </c:pt>
                <c:pt idx="7">
                  <c:v>0.95679999999999998</c:v>
                </c:pt>
                <c:pt idx="8">
                  <c:v>0.95319999999999994</c:v>
                </c:pt>
                <c:pt idx="9">
                  <c:v>0.94819999999999993</c:v>
                </c:pt>
                <c:pt idx="10">
                  <c:v>0.94140000000000001</c:v>
                </c:pt>
                <c:pt idx="11">
                  <c:v>0.93759999999999999</c:v>
                </c:pt>
                <c:pt idx="12">
                  <c:v>0.93240000000000001</c:v>
                </c:pt>
                <c:pt idx="13">
                  <c:v>0.92779999999999996</c:v>
                </c:pt>
                <c:pt idx="14">
                  <c:v>0.92320000000000002</c:v>
                </c:pt>
                <c:pt idx="15">
                  <c:v>0.91639999999999999</c:v>
                </c:pt>
                <c:pt idx="16">
                  <c:v>0.91160000000000008</c:v>
                </c:pt>
                <c:pt idx="17">
                  <c:v>0.9052</c:v>
                </c:pt>
                <c:pt idx="18">
                  <c:v>0.9</c:v>
                </c:pt>
                <c:pt idx="19">
                  <c:v>0.8952</c:v>
                </c:pt>
                <c:pt idx="20">
                  <c:v>0.88780000000000003</c:v>
                </c:pt>
                <c:pt idx="21">
                  <c:v>0.88260000000000005</c:v>
                </c:pt>
                <c:pt idx="22">
                  <c:v>0.87760000000000005</c:v>
                </c:pt>
                <c:pt idx="23">
                  <c:v>0.873</c:v>
                </c:pt>
                <c:pt idx="24">
                  <c:v>0.86799999999999999</c:v>
                </c:pt>
                <c:pt idx="25">
                  <c:v>0.86299999999999999</c:v>
                </c:pt>
              </c:numCache>
            </c:numRef>
          </c:val>
        </c:ser>
        <c:ser>
          <c:idx val="5"/>
          <c:order val="5"/>
          <c:tx>
            <c:v>T = 115</c:v>
          </c:tx>
          <c:spPr>
            <a:ln w="12700">
              <a:solidFill>
                <a:srgbClr val="800000"/>
              </a:solidFill>
              <a:prstDash val="solid"/>
            </a:ln>
          </c:spPr>
          <c:marker>
            <c:symbol val="circle"/>
            <c:size val="5"/>
            <c:spPr>
              <a:solidFill>
                <a:srgbClr val="800000"/>
              </a:solidFill>
              <a:ln>
                <a:solidFill>
                  <a:srgbClr val="800000"/>
                </a:solidFill>
                <a:prstDash val="solid"/>
              </a:ln>
            </c:spPr>
          </c:marker>
          <c:trendline>
            <c:spPr>
              <a:ln w="25400">
                <a:solidFill>
                  <a:srgbClr val="000000"/>
                </a:solidFill>
                <a:prstDash val="solid"/>
              </a:ln>
            </c:spPr>
            <c:trendlineType val="poly"/>
            <c:order val="3"/>
          </c:trendline>
          <c:val>
            <c:numRef>
              <c:f>'DATA - MW = 17.40 (Sp Gr= 0.6)'!$I$8:$I$33</c:f>
              <c:numCache>
                <c:formatCode>General</c:formatCode>
                <c:ptCount val="26"/>
                <c:pt idx="0">
                  <c:v>1</c:v>
                </c:pt>
                <c:pt idx="1">
                  <c:v>0.9929</c:v>
                </c:pt>
                <c:pt idx="2">
                  <c:v>0.98680000000000001</c:v>
                </c:pt>
                <c:pt idx="3">
                  <c:v>0.98080000000000001</c:v>
                </c:pt>
                <c:pt idx="4">
                  <c:v>0.97370000000000001</c:v>
                </c:pt>
                <c:pt idx="5">
                  <c:v>0.96629999999999994</c:v>
                </c:pt>
                <c:pt idx="6">
                  <c:v>0.96089999999999998</c:v>
                </c:pt>
                <c:pt idx="7">
                  <c:v>0.9556</c:v>
                </c:pt>
                <c:pt idx="8">
                  <c:v>0.95189999999999997</c:v>
                </c:pt>
                <c:pt idx="9">
                  <c:v>0.94689999999999996</c:v>
                </c:pt>
                <c:pt idx="10">
                  <c:v>0.93979999999999997</c:v>
                </c:pt>
                <c:pt idx="11">
                  <c:v>0.93569999999999998</c:v>
                </c:pt>
                <c:pt idx="12">
                  <c:v>0.93030000000000002</c:v>
                </c:pt>
                <c:pt idx="13">
                  <c:v>0.92559999999999998</c:v>
                </c:pt>
                <c:pt idx="14">
                  <c:v>0.92090000000000005</c:v>
                </c:pt>
                <c:pt idx="15">
                  <c:v>0.91380000000000006</c:v>
                </c:pt>
                <c:pt idx="16">
                  <c:v>0.90870000000000006</c:v>
                </c:pt>
                <c:pt idx="17">
                  <c:v>0.90190000000000003</c:v>
                </c:pt>
                <c:pt idx="18">
                  <c:v>0.89650000000000007</c:v>
                </c:pt>
                <c:pt idx="19">
                  <c:v>0.89139999999999997</c:v>
                </c:pt>
                <c:pt idx="20">
                  <c:v>0.88360000000000005</c:v>
                </c:pt>
                <c:pt idx="21">
                  <c:v>0.87819999999999998</c:v>
                </c:pt>
                <c:pt idx="22">
                  <c:v>0.87319999999999998</c:v>
                </c:pt>
                <c:pt idx="23">
                  <c:v>0.86850000000000005</c:v>
                </c:pt>
                <c:pt idx="24">
                  <c:v>0.86349999999999993</c:v>
                </c:pt>
                <c:pt idx="25">
                  <c:v>0.85850000000000004</c:v>
                </c:pt>
              </c:numCache>
            </c:numRef>
          </c:val>
        </c:ser>
        <c:ser>
          <c:idx val="6"/>
          <c:order val="6"/>
          <c:tx>
            <c:v>T = 110</c:v>
          </c:tx>
          <c:spPr>
            <a:ln w="12700">
              <a:solidFill>
                <a:srgbClr val="008080"/>
              </a:solidFill>
              <a:prstDash val="solid"/>
            </a:ln>
          </c:spPr>
          <c:marker>
            <c:symbol val="plus"/>
            <c:size val="5"/>
            <c:spPr>
              <a:noFill/>
              <a:ln>
                <a:solidFill>
                  <a:srgbClr val="008080"/>
                </a:solidFill>
                <a:prstDash val="solid"/>
              </a:ln>
            </c:spPr>
          </c:marker>
          <c:trendline>
            <c:spPr>
              <a:ln w="25400">
                <a:solidFill>
                  <a:srgbClr val="000000"/>
                </a:solidFill>
                <a:prstDash val="solid"/>
              </a:ln>
            </c:spPr>
            <c:trendlineType val="poly"/>
            <c:order val="3"/>
          </c:trendline>
          <c:val>
            <c:numRef>
              <c:f>'DATA - MW = 17.40 (Sp Gr= 0.6)'!$J$8:$J$33</c:f>
              <c:numCache>
                <c:formatCode>General</c:formatCode>
                <c:ptCount val="26"/>
                <c:pt idx="0">
                  <c:v>1</c:v>
                </c:pt>
                <c:pt idx="1">
                  <c:v>0.99260000000000004</c:v>
                </c:pt>
                <c:pt idx="2">
                  <c:v>0.98619999999999997</c:v>
                </c:pt>
                <c:pt idx="3">
                  <c:v>0.98019999999999996</c:v>
                </c:pt>
                <c:pt idx="4">
                  <c:v>0.9728</c:v>
                </c:pt>
                <c:pt idx="5">
                  <c:v>0.96519999999999995</c:v>
                </c:pt>
                <c:pt idx="6">
                  <c:v>0.95960000000000001</c:v>
                </c:pt>
                <c:pt idx="7">
                  <c:v>0.95439999999999992</c:v>
                </c:pt>
                <c:pt idx="8">
                  <c:v>0.9506</c:v>
                </c:pt>
                <c:pt idx="9">
                  <c:v>0.9456</c:v>
                </c:pt>
                <c:pt idx="10">
                  <c:v>0.93820000000000003</c:v>
                </c:pt>
                <c:pt idx="11">
                  <c:v>0.93380000000000007</c:v>
                </c:pt>
                <c:pt idx="12">
                  <c:v>0.92820000000000003</c:v>
                </c:pt>
                <c:pt idx="13">
                  <c:v>0.9234</c:v>
                </c:pt>
                <c:pt idx="14">
                  <c:v>0.91860000000000008</c:v>
                </c:pt>
                <c:pt idx="15">
                  <c:v>0.91120000000000001</c:v>
                </c:pt>
                <c:pt idx="16">
                  <c:v>0.90580000000000005</c:v>
                </c:pt>
                <c:pt idx="17">
                  <c:v>0.89860000000000007</c:v>
                </c:pt>
                <c:pt idx="18">
                  <c:v>0.89300000000000002</c:v>
                </c:pt>
                <c:pt idx="19">
                  <c:v>0.88760000000000006</c:v>
                </c:pt>
                <c:pt idx="20">
                  <c:v>0.87939999999999996</c:v>
                </c:pt>
                <c:pt idx="21">
                  <c:v>0.87380000000000002</c:v>
                </c:pt>
                <c:pt idx="22">
                  <c:v>0.86880000000000002</c:v>
                </c:pt>
                <c:pt idx="23">
                  <c:v>0.86399999999999999</c:v>
                </c:pt>
                <c:pt idx="24">
                  <c:v>0.85899999999999999</c:v>
                </c:pt>
                <c:pt idx="25">
                  <c:v>0.85399999999999998</c:v>
                </c:pt>
              </c:numCache>
            </c:numRef>
          </c:val>
        </c:ser>
        <c:ser>
          <c:idx val="7"/>
          <c:order val="7"/>
          <c:tx>
            <c:v>T = 105</c:v>
          </c:tx>
          <c:spPr>
            <a:ln w="12700">
              <a:solidFill>
                <a:srgbClr val="0000FF"/>
              </a:solidFill>
              <a:prstDash val="solid"/>
            </a:ln>
          </c:spPr>
          <c:marker>
            <c:symbol val="dot"/>
            <c:size val="5"/>
            <c:spPr>
              <a:noFill/>
              <a:ln>
                <a:solidFill>
                  <a:srgbClr val="0000FF"/>
                </a:solidFill>
                <a:prstDash val="solid"/>
              </a:ln>
            </c:spPr>
          </c:marker>
          <c:trendline>
            <c:spPr>
              <a:ln w="25400">
                <a:solidFill>
                  <a:srgbClr val="000000"/>
                </a:solidFill>
                <a:prstDash val="solid"/>
              </a:ln>
            </c:spPr>
            <c:trendlineType val="poly"/>
            <c:order val="3"/>
          </c:trendline>
          <c:val>
            <c:numRef>
              <c:f>'DATA - MW = 17.40 (Sp Gr= 0.6)'!$K$8:$K$33</c:f>
              <c:numCache>
                <c:formatCode>General</c:formatCode>
                <c:ptCount val="26"/>
                <c:pt idx="0">
                  <c:v>1</c:v>
                </c:pt>
                <c:pt idx="1">
                  <c:v>0.99229999999999996</c:v>
                </c:pt>
                <c:pt idx="2">
                  <c:v>0.98560000000000003</c:v>
                </c:pt>
                <c:pt idx="3">
                  <c:v>0.97960000000000003</c:v>
                </c:pt>
                <c:pt idx="4">
                  <c:v>0.97189999999999999</c:v>
                </c:pt>
                <c:pt idx="5">
                  <c:v>0.96409999999999996</c:v>
                </c:pt>
                <c:pt idx="6">
                  <c:v>0.95829999999999993</c:v>
                </c:pt>
                <c:pt idx="7">
                  <c:v>0.95319999999999994</c:v>
                </c:pt>
                <c:pt idx="8">
                  <c:v>0.94929999999999992</c:v>
                </c:pt>
                <c:pt idx="9">
                  <c:v>0.94429999999999992</c:v>
                </c:pt>
                <c:pt idx="10">
                  <c:v>0.9366000000000001</c:v>
                </c:pt>
                <c:pt idx="11">
                  <c:v>0.93190000000000006</c:v>
                </c:pt>
                <c:pt idx="12">
                  <c:v>0.92610000000000003</c:v>
                </c:pt>
                <c:pt idx="13">
                  <c:v>0.92120000000000002</c:v>
                </c:pt>
                <c:pt idx="14">
                  <c:v>0.9163</c:v>
                </c:pt>
                <c:pt idx="15">
                  <c:v>0.90860000000000007</c:v>
                </c:pt>
                <c:pt idx="16">
                  <c:v>0.90290000000000004</c:v>
                </c:pt>
                <c:pt idx="17">
                  <c:v>0.89529999999999998</c:v>
                </c:pt>
                <c:pt idx="18">
                  <c:v>0.88949999999999996</c:v>
                </c:pt>
                <c:pt idx="19">
                  <c:v>0.88380000000000003</c:v>
                </c:pt>
                <c:pt idx="20">
                  <c:v>0.87519999999999998</c:v>
                </c:pt>
                <c:pt idx="21">
                  <c:v>0.86939999999999995</c:v>
                </c:pt>
                <c:pt idx="22">
                  <c:v>0.86439999999999995</c:v>
                </c:pt>
                <c:pt idx="23">
                  <c:v>0.85949999999999993</c:v>
                </c:pt>
                <c:pt idx="24">
                  <c:v>0.85450000000000004</c:v>
                </c:pt>
                <c:pt idx="25">
                  <c:v>0.84949999999999992</c:v>
                </c:pt>
              </c:numCache>
            </c:numRef>
          </c:val>
        </c:ser>
        <c:ser>
          <c:idx val="8"/>
          <c:order val="8"/>
          <c:tx>
            <c:v>T = 95</c:v>
          </c:tx>
          <c:spPr>
            <a:ln w="12700">
              <a:solidFill>
                <a:srgbClr val="00CCFF"/>
              </a:solidFill>
              <a:prstDash val="solid"/>
            </a:ln>
          </c:spPr>
          <c:marker>
            <c:symbol val="dash"/>
            <c:size val="5"/>
            <c:spPr>
              <a:noFill/>
              <a:ln>
                <a:solidFill>
                  <a:srgbClr val="00CCFF"/>
                </a:solidFill>
                <a:prstDash val="solid"/>
              </a:ln>
            </c:spPr>
          </c:marker>
          <c:trendline>
            <c:spPr>
              <a:ln w="25400">
                <a:solidFill>
                  <a:srgbClr val="000000"/>
                </a:solidFill>
                <a:prstDash val="solid"/>
              </a:ln>
            </c:spPr>
            <c:trendlineType val="poly"/>
            <c:order val="3"/>
          </c:trendline>
          <c:val>
            <c:numRef>
              <c:f>'DATA - MW = 17.40 (Sp Gr= 0.6)'!$M$8:$M$33</c:f>
              <c:numCache>
                <c:formatCode>General</c:formatCode>
                <c:ptCount val="26"/>
                <c:pt idx="0">
                  <c:v>1</c:v>
                </c:pt>
                <c:pt idx="1">
                  <c:v>0.99160000000000004</c:v>
                </c:pt>
                <c:pt idx="2">
                  <c:v>0.98439999999999994</c:v>
                </c:pt>
                <c:pt idx="3">
                  <c:v>0.97799999999999998</c:v>
                </c:pt>
                <c:pt idx="4">
                  <c:v>0.97019999999999995</c:v>
                </c:pt>
                <c:pt idx="5">
                  <c:v>0.96239999999999992</c:v>
                </c:pt>
                <c:pt idx="6">
                  <c:v>0.95619999999999994</c:v>
                </c:pt>
                <c:pt idx="7">
                  <c:v>0.95099999999999996</c:v>
                </c:pt>
                <c:pt idx="8">
                  <c:v>0.94639999999999991</c:v>
                </c:pt>
                <c:pt idx="9">
                  <c:v>0.94079999999999997</c:v>
                </c:pt>
                <c:pt idx="10">
                  <c:v>0.93300000000000005</c:v>
                </c:pt>
                <c:pt idx="11">
                  <c:v>0.92800000000000005</c:v>
                </c:pt>
                <c:pt idx="12">
                  <c:v>0.9214</c:v>
                </c:pt>
                <c:pt idx="13">
                  <c:v>0.91539999999999999</c:v>
                </c:pt>
                <c:pt idx="14">
                  <c:v>0.91020000000000001</c:v>
                </c:pt>
                <c:pt idx="15">
                  <c:v>0.9022</c:v>
                </c:pt>
                <c:pt idx="16">
                  <c:v>0.89600000000000002</c:v>
                </c:pt>
                <c:pt idx="17">
                  <c:v>0.88800000000000001</c:v>
                </c:pt>
                <c:pt idx="18">
                  <c:v>0.88180000000000003</c:v>
                </c:pt>
                <c:pt idx="19">
                  <c:v>0.87580000000000002</c:v>
                </c:pt>
                <c:pt idx="20">
                  <c:v>0.86699999999999999</c:v>
                </c:pt>
                <c:pt idx="21">
                  <c:v>0.86</c:v>
                </c:pt>
                <c:pt idx="22">
                  <c:v>0.8548</c:v>
                </c:pt>
                <c:pt idx="23">
                  <c:v>0.8498</c:v>
                </c:pt>
                <c:pt idx="24">
                  <c:v>0.84460000000000002</c:v>
                </c:pt>
                <c:pt idx="25">
                  <c:v>0.83979999999999999</c:v>
                </c:pt>
              </c:numCache>
            </c:numRef>
          </c:val>
        </c:ser>
        <c:ser>
          <c:idx val="9"/>
          <c:order val="9"/>
          <c:tx>
            <c:v>T = 90</c:v>
          </c:tx>
          <c:spPr>
            <a:ln w="12700">
              <a:solidFill>
                <a:srgbClr val="CCFFFF"/>
              </a:solidFill>
              <a:prstDash val="solid"/>
            </a:ln>
          </c:spPr>
          <c:marker>
            <c:symbol val="diamond"/>
            <c:size val="5"/>
            <c:spPr>
              <a:solidFill>
                <a:srgbClr val="CCFFFF"/>
              </a:solidFill>
              <a:ln>
                <a:solidFill>
                  <a:srgbClr val="CCFFFF"/>
                </a:solidFill>
                <a:prstDash val="solid"/>
              </a:ln>
            </c:spPr>
          </c:marker>
          <c:trendline>
            <c:spPr>
              <a:ln w="25400">
                <a:solidFill>
                  <a:srgbClr val="000000"/>
                </a:solidFill>
                <a:prstDash val="solid"/>
              </a:ln>
            </c:spPr>
            <c:trendlineType val="poly"/>
            <c:order val="3"/>
          </c:trendline>
          <c:val>
            <c:numRef>
              <c:f>'DATA - MW = 17.40 (Sp Gr= 0.6)'!$N$8:$N$33</c:f>
              <c:numCache>
                <c:formatCode>General</c:formatCode>
                <c:ptCount val="26"/>
                <c:pt idx="0">
                  <c:v>1</c:v>
                </c:pt>
                <c:pt idx="1">
                  <c:v>0.99119999999999997</c:v>
                </c:pt>
                <c:pt idx="2">
                  <c:v>0.98380000000000001</c:v>
                </c:pt>
                <c:pt idx="3">
                  <c:v>0.97699999999999998</c:v>
                </c:pt>
                <c:pt idx="4">
                  <c:v>0.96939999999999993</c:v>
                </c:pt>
                <c:pt idx="5">
                  <c:v>0.96179999999999999</c:v>
                </c:pt>
                <c:pt idx="6">
                  <c:v>0.95539999999999992</c:v>
                </c:pt>
                <c:pt idx="7">
                  <c:v>0.95</c:v>
                </c:pt>
                <c:pt idx="8">
                  <c:v>0.94479999999999997</c:v>
                </c:pt>
                <c:pt idx="9">
                  <c:v>0.93859999999999999</c:v>
                </c:pt>
                <c:pt idx="10">
                  <c:v>0.93100000000000005</c:v>
                </c:pt>
                <c:pt idx="11">
                  <c:v>0.92600000000000005</c:v>
                </c:pt>
                <c:pt idx="12">
                  <c:v>0.91880000000000006</c:v>
                </c:pt>
                <c:pt idx="13">
                  <c:v>0.91180000000000005</c:v>
                </c:pt>
                <c:pt idx="14">
                  <c:v>0.90639999999999998</c:v>
                </c:pt>
                <c:pt idx="15">
                  <c:v>0.89839999999999998</c:v>
                </c:pt>
                <c:pt idx="16">
                  <c:v>0.89200000000000002</c:v>
                </c:pt>
                <c:pt idx="17">
                  <c:v>0.88400000000000001</c:v>
                </c:pt>
                <c:pt idx="18">
                  <c:v>0.87760000000000005</c:v>
                </c:pt>
                <c:pt idx="19">
                  <c:v>0.87160000000000004</c:v>
                </c:pt>
                <c:pt idx="20">
                  <c:v>0.86299999999999999</c:v>
                </c:pt>
                <c:pt idx="21">
                  <c:v>0.85499999999999998</c:v>
                </c:pt>
                <c:pt idx="22">
                  <c:v>0.84960000000000002</c:v>
                </c:pt>
                <c:pt idx="23">
                  <c:v>0.84460000000000002</c:v>
                </c:pt>
                <c:pt idx="24">
                  <c:v>0.83919999999999995</c:v>
                </c:pt>
                <c:pt idx="25">
                  <c:v>0.83460000000000001</c:v>
                </c:pt>
              </c:numCache>
            </c:numRef>
          </c:val>
        </c:ser>
        <c:ser>
          <c:idx val="10"/>
          <c:order val="10"/>
          <c:tx>
            <c:v>T = 85</c:v>
          </c:tx>
          <c:spPr>
            <a:ln w="12700">
              <a:solidFill>
                <a:srgbClr val="CCFFCC"/>
              </a:solidFill>
              <a:prstDash val="solid"/>
            </a:ln>
          </c:spPr>
          <c:marker>
            <c:symbol val="square"/>
            <c:size val="5"/>
            <c:spPr>
              <a:solidFill>
                <a:srgbClr val="CCFFCC"/>
              </a:solidFill>
              <a:ln>
                <a:solidFill>
                  <a:srgbClr val="CCFFCC"/>
                </a:solidFill>
                <a:prstDash val="solid"/>
              </a:ln>
            </c:spPr>
          </c:marker>
          <c:trendline>
            <c:spPr>
              <a:ln w="25400">
                <a:solidFill>
                  <a:srgbClr val="000000"/>
                </a:solidFill>
                <a:prstDash val="solid"/>
              </a:ln>
            </c:spPr>
            <c:trendlineType val="poly"/>
            <c:order val="3"/>
          </c:trendline>
          <c:val>
            <c:numRef>
              <c:f>'DATA - MW = 17.40 (Sp Gr= 0.6)'!$O$8:$O$33</c:f>
              <c:numCache>
                <c:formatCode>General</c:formatCode>
                <c:ptCount val="26"/>
                <c:pt idx="0">
                  <c:v>1</c:v>
                </c:pt>
                <c:pt idx="1">
                  <c:v>0.99080000000000001</c:v>
                </c:pt>
                <c:pt idx="2">
                  <c:v>0.98319999999999996</c:v>
                </c:pt>
                <c:pt idx="3">
                  <c:v>0.97599999999999998</c:v>
                </c:pt>
                <c:pt idx="4">
                  <c:v>0.96860000000000002</c:v>
                </c:pt>
                <c:pt idx="5">
                  <c:v>0.96119999999999994</c:v>
                </c:pt>
                <c:pt idx="6">
                  <c:v>0.9546</c:v>
                </c:pt>
                <c:pt idx="7">
                  <c:v>0.94899999999999995</c:v>
                </c:pt>
                <c:pt idx="8">
                  <c:v>0.94319999999999993</c:v>
                </c:pt>
                <c:pt idx="9">
                  <c:v>0.93640000000000001</c:v>
                </c:pt>
                <c:pt idx="10">
                  <c:v>0.92900000000000005</c:v>
                </c:pt>
                <c:pt idx="11">
                  <c:v>0.92400000000000004</c:v>
                </c:pt>
                <c:pt idx="12">
                  <c:v>0.91620000000000001</c:v>
                </c:pt>
                <c:pt idx="13">
                  <c:v>0.90820000000000001</c:v>
                </c:pt>
                <c:pt idx="14">
                  <c:v>0.90260000000000007</c:v>
                </c:pt>
                <c:pt idx="15">
                  <c:v>0.89460000000000006</c:v>
                </c:pt>
                <c:pt idx="16">
                  <c:v>0.88800000000000001</c:v>
                </c:pt>
                <c:pt idx="17">
                  <c:v>0.88</c:v>
                </c:pt>
                <c:pt idx="18">
                  <c:v>0.87339999999999995</c:v>
                </c:pt>
                <c:pt idx="19">
                  <c:v>0.86739999999999995</c:v>
                </c:pt>
                <c:pt idx="20">
                  <c:v>0.85899999999999999</c:v>
                </c:pt>
                <c:pt idx="21">
                  <c:v>0.85</c:v>
                </c:pt>
                <c:pt idx="22">
                  <c:v>0.84439999999999993</c:v>
                </c:pt>
                <c:pt idx="23">
                  <c:v>0.83939999999999992</c:v>
                </c:pt>
                <c:pt idx="24">
                  <c:v>0.83379999999999999</c:v>
                </c:pt>
                <c:pt idx="25">
                  <c:v>0.82939999999999992</c:v>
                </c:pt>
              </c:numCache>
            </c:numRef>
          </c:val>
        </c:ser>
        <c:ser>
          <c:idx val="11"/>
          <c:order val="11"/>
          <c:tx>
            <c:v>T = 80</c:v>
          </c:tx>
          <c:spPr>
            <a:ln w="12700">
              <a:solidFill>
                <a:srgbClr val="FFFF99"/>
              </a:solidFill>
              <a:prstDash val="solid"/>
            </a:ln>
          </c:spPr>
          <c:marker>
            <c:symbol val="triangle"/>
            <c:size val="5"/>
            <c:spPr>
              <a:solidFill>
                <a:srgbClr val="FFFF99"/>
              </a:solidFill>
              <a:ln>
                <a:solidFill>
                  <a:srgbClr val="FFFF99"/>
                </a:solidFill>
                <a:prstDash val="solid"/>
              </a:ln>
            </c:spPr>
          </c:marker>
          <c:trendline>
            <c:spPr>
              <a:ln w="25400">
                <a:solidFill>
                  <a:srgbClr val="000000"/>
                </a:solidFill>
                <a:prstDash val="solid"/>
              </a:ln>
            </c:spPr>
            <c:trendlineType val="poly"/>
            <c:order val="3"/>
          </c:trendline>
          <c:val>
            <c:numRef>
              <c:f>'DATA - MW = 17.40 (Sp Gr= 0.6)'!$P$8:$P$33</c:f>
              <c:numCache>
                <c:formatCode>General</c:formatCode>
                <c:ptCount val="26"/>
                <c:pt idx="0">
                  <c:v>1</c:v>
                </c:pt>
                <c:pt idx="1">
                  <c:v>0.99039999999999995</c:v>
                </c:pt>
                <c:pt idx="2">
                  <c:v>0.98260000000000003</c:v>
                </c:pt>
                <c:pt idx="3">
                  <c:v>0.97499999999999998</c:v>
                </c:pt>
                <c:pt idx="4">
                  <c:v>0.96779999999999999</c:v>
                </c:pt>
                <c:pt idx="5">
                  <c:v>0.96060000000000001</c:v>
                </c:pt>
                <c:pt idx="6">
                  <c:v>0.95379999999999998</c:v>
                </c:pt>
                <c:pt idx="7">
                  <c:v>0.94799999999999995</c:v>
                </c:pt>
                <c:pt idx="8">
                  <c:v>0.94159999999999999</c:v>
                </c:pt>
                <c:pt idx="9">
                  <c:v>0.93420000000000003</c:v>
                </c:pt>
                <c:pt idx="10">
                  <c:v>0.92700000000000005</c:v>
                </c:pt>
                <c:pt idx="11">
                  <c:v>0.92200000000000004</c:v>
                </c:pt>
                <c:pt idx="12">
                  <c:v>0.91360000000000008</c:v>
                </c:pt>
                <c:pt idx="13">
                  <c:v>0.90460000000000007</c:v>
                </c:pt>
                <c:pt idx="14">
                  <c:v>0.89880000000000004</c:v>
                </c:pt>
                <c:pt idx="15">
                  <c:v>0.89080000000000004</c:v>
                </c:pt>
                <c:pt idx="16">
                  <c:v>0.88400000000000001</c:v>
                </c:pt>
                <c:pt idx="17">
                  <c:v>0.876</c:v>
                </c:pt>
                <c:pt idx="18">
                  <c:v>0.86919999999999997</c:v>
                </c:pt>
                <c:pt idx="19">
                  <c:v>0.86319999999999997</c:v>
                </c:pt>
                <c:pt idx="20">
                  <c:v>0.85499999999999998</c:v>
                </c:pt>
                <c:pt idx="21">
                  <c:v>0.84499999999999997</c:v>
                </c:pt>
                <c:pt idx="22">
                  <c:v>0.83919999999999995</c:v>
                </c:pt>
                <c:pt idx="23">
                  <c:v>0.83419999999999994</c:v>
                </c:pt>
                <c:pt idx="24">
                  <c:v>0.82839999999999991</c:v>
                </c:pt>
                <c:pt idx="25">
                  <c:v>0.82419999999999993</c:v>
                </c:pt>
              </c:numCache>
            </c:numRef>
          </c:val>
        </c:ser>
        <c:ser>
          <c:idx val="12"/>
          <c:order val="12"/>
          <c:tx>
            <c:v>T = 70</c:v>
          </c:tx>
          <c:spPr>
            <a:ln w="12700">
              <a:solidFill>
                <a:srgbClr val="99CCFF"/>
              </a:solidFill>
              <a:prstDash val="solid"/>
            </a:ln>
          </c:spPr>
          <c:marker>
            <c:symbol val="x"/>
            <c:size val="5"/>
            <c:spPr>
              <a:noFill/>
              <a:ln>
                <a:solidFill>
                  <a:srgbClr val="99CCFF"/>
                </a:solidFill>
                <a:prstDash val="solid"/>
              </a:ln>
            </c:spPr>
          </c:marker>
          <c:trendline>
            <c:spPr>
              <a:ln w="25400">
                <a:solidFill>
                  <a:srgbClr val="000000"/>
                </a:solidFill>
                <a:prstDash val="solid"/>
              </a:ln>
            </c:spPr>
            <c:trendlineType val="poly"/>
            <c:order val="3"/>
          </c:trendline>
          <c:val>
            <c:numRef>
              <c:f>'DATA - MW = 17.40 (Sp Gr= 0.6)'!$R$8:$R$33</c:f>
              <c:numCache>
                <c:formatCode>General</c:formatCode>
                <c:ptCount val="26"/>
                <c:pt idx="0">
                  <c:v>1</c:v>
                </c:pt>
                <c:pt idx="1">
                  <c:v>0.98899999999999999</c:v>
                </c:pt>
                <c:pt idx="2">
                  <c:v>0.98060000000000003</c:v>
                </c:pt>
                <c:pt idx="3">
                  <c:v>0.97260000000000002</c:v>
                </c:pt>
                <c:pt idx="4">
                  <c:v>0.96560000000000001</c:v>
                </c:pt>
                <c:pt idx="5">
                  <c:v>0.95799999999999996</c:v>
                </c:pt>
                <c:pt idx="6">
                  <c:v>0.95079999999999998</c:v>
                </c:pt>
                <c:pt idx="7">
                  <c:v>0.9446</c:v>
                </c:pt>
                <c:pt idx="8">
                  <c:v>0.93759999999999999</c:v>
                </c:pt>
                <c:pt idx="9">
                  <c:v>0.9294</c:v>
                </c:pt>
                <c:pt idx="10">
                  <c:v>0.92200000000000004</c:v>
                </c:pt>
                <c:pt idx="11">
                  <c:v>0.91600000000000004</c:v>
                </c:pt>
                <c:pt idx="12">
                  <c:v>0.90680000000000005</c:v>
                </c:pt>
                <c:pt idx="13">
                  <c:v>0.89680000000000004</c:v>
                </c:pt>
                <c:pt idx="14">
                  <c:v>0.89039999999999997</c:v>
                </c:pt>
                <c:pt idx="15">
                  <c:v>0.88239999999999996</c:v>
                </c:pt>
                <c:pt idx="16">
                  <c:v>0.875</c:v>
                </c:pt>
                <c:pt idx="17">
                  <c:v>0.86660000000000004</c:v>
                </c:pt>
                <c:pt idx="18">
                  <c:v>0.85919999999999996</c:v>
                </c:pt>
                <c:pt idx="19">
                  <c:v>0.8528</c:v>
                </c:pt>
                <c:pt idx="20">
                  <c:v>0.84460000000000002</c:v>
                </c:pt>
                <c:pt idx="21">
                  <c:v>0.83399999999999996</c:v>
                </c:pt>
                <c:pt idx="22">
                  <c:v>0.82740000000000002</c:v>
                </c:pt>
                <c:pt idx="23">
                  <c:v>0.8216</c:v>
                </c:pt>
                <c:pt idx="24">
                  <c:v>0.81559999999999999</c:v>
                </c:pt>
                <c:pt idx="25">
                  <c:v>0.81119999999999992</c:v>
                </c:pt>
              </c:numCache>
            </c:numRef>
          </c:val>
        </c:ser>
        <c:ser>
          <c:idx val="13"/>
          <c:order val="13"/>
          <c:tx>
            <c:v>T = 65</c:v>
          </c:tx>
          <c:spPr>
            <a:ln w="12700">
              <a:solidFill>
                <a:srgbClr val="FF99CC"/>
              </a:solidFill>
              <a:prstDash val="solid"/>
            </a:ln>
          </c:spPr>
          <c:marker>
            <c:symbol val="star"/>
            <c:size val="5"/>
            <c:spPr>
              <a:noFill/>
              <a:ln>
                <a:solidFill>
                  <a:srgbClr val="FF99CC"/>
                </a:solidFill>
                <a:prstDash val="solid"/>
              </a:ln>
            </c:spPr>
          </c:marker>
          <c:trendline>
            <c:spPr>
              <a:ln w="25400">
                <a:solidFill>
                  <a:srgbClr val="000000"/>
                </a:solidFill>
                <a:prstDash val="solid"/>
              </a:ln>
            </c:spPr>
            <c:trendlineType val="poly"/>
            <c:order val="3"/>
          </c:trendline>
          <c:val>
            <c:numRef>
              <c:f>'DATA - MW = 17.40 (Sp Gr= 0.6)'!$S$8:$S$33</c:f>
              <c:numCache>
                <c:formatCode>General</c:formatCode>
                <c:ptCount val="26"/>
                <c:pt idx="0">
                  <c:v>1</c:v>
                </c:pt>
                <c:pt idx="1">
                  <c:v>0.98799999999999999</c:v>
                </c:pt>
                <c:pt idx="2">
                  <c:v>0.97919999999999996</c:v>
                </c:pt>
                <c:pt idx="3">
                  <c:v>0.97119999999999995</c:v>
                </c:pt>
                <c:pt idx="4">
                  <c:v>0.96419999999999995</c:v>
                </c:pt>
                <c:pt idx="5">
                  <c:v>0.95599999999999996</c:v>
                </c:pt>
                <c:pt idx="6">
                  <c:v>0.9486</c:v>
                </c:pt>
                <c:pt idx="7">
                  <c:v>0.94220000000000004</c:v>
                </c:pt>
                <c:pt idx="8">
                  <c:v>0.93520000000000003</c:v>
                </c:pt>
                <c:pt idx="9">
                  <c:v>0.92680000000000007</c:v>
                </c:pt>
                <c:pt idx="10">
                  <c:v>0.91900000000000004</c:v>
                </c:pt>
                <c:pt idx="11">
                  <c:v>0.91200000000000003</c:v>
                </c:pt>
                <c:pt idx="12">
                  <c:v>0.90260000000000007</c:v>
                </c:pt>
                <c:pt idx="13">
                  <c:v>0.89260000000000006</c:v>
                </c:pt>
                <c:pt idx="14">
                  <c:v>0.88580000000000003</c:v>
                </c:pt>
                <c:pt idx="15">
                  <c:v>0.87780000000000002</c:v>
                </c:pt>
                <c:pt idx="16">
                  <c:v>0.87</c:v>
                </c:pt>
                <c:pt idx="17">
                  <c:v>0.86119999999999997</c:v>
                </c:pt>
                <c:pt idx="18">
                  <c:v>0.85339999999999994</c:v>
                </c:pt>
                <c:pt idx="19">
                  <c:v>0.84660000000000002</c:v>
                </c:pt>
                <c:pt idx="20">
                  <c:v>0.83819999999999995</c:v>
                </c:pt>
                <c:pt idx="21">
                  <c:v>0.82799999999999996</c:v>
                </c:pt>
                <c:pt idx="22">
                  <c:v>0.82079999999999997</c:v>
                </c:pt>
                <c:pt idx="23">
                  <c:v>0.81420000000000003</c:v>
                </c:pt>
                <c:pt idx="24">
                  <c:v>0.80820000000000003</c:v>
                </c:pt>
                <c:pt idx="25">
                  <c:v>0.8034</c:v>
                </c:pt>
              </c:numCache>
            </c:numRef>
          </c:val>
        </c:ser>
        <c:ser>
          <c:idx val="14"/>
          <c:order val="14"/>
          <c:tx>
            <c:v>T = 60</c:v>
          </c:tx>
          <c:spPr>
            <a:ln w="12700">
              <a:solidFill>
                <a:srgbClr val="CC99FF"/>
              </a:solidFill>
              <a:prstDash val="solid"/>
            </a:ln>
          </c:spPr>
          <c:marker>
            <c:symbol val="circle"/>
            <c:size val="5"/>
            <c:spPr>
              <a:solidFill>
                <a:srgbClr val="CC99FF"/>
              </a:solidFill>
              <a:ln>
                <a:solidFill>
                  <a:srgbClr val="CC99FF"/>
                </a:solidFill>
                <a:prstDash val="solid"/>
              </a:ln>
            </c:spPr>
          </c:marker>
          <c:trendline>
            <c:spPr>
              <a:ln w="25400">
                <a:solidFill>
                  <a:srgbClr val="000000"/>
                </a:solidFill>
                <a:prstDash val="solid"/>
              </a:ln>
            </c:spPr>
            <c:trendlineType val="poly"/>
            <c:order val="3"/>
          </c:trendline>
          <c:val>
            <c:numRef>
              <c:f>'DATA - MW = 17.40 (Sp Gr= 0.6)'!$T$8:$T$33</c:f>
              <c:numCache>
                <c:formatCode>General</c:formatCode>
                <c:ptCount val="26"/>
                <c:pt idx="0">
                  <c:v>1</c:v>
                </c:pt>
                <c:pt idx="1">
                  <c:v>0.98699999999999999</c:v>
                </c:pt>
                <c:pt idx="2">
                  <c:v>0.9778</c:v>
                </c:pt>
                <c:pt idx="3">
                  <c:v>0.9698</c:v>
                </c:pt>
                <c:pt idx="4">
                  <c:v>0.96279999999999999</c:v>
                </c:pt>
                <c:pt idx="5">
                  <c:v>0.95399999999999996</c:v>
                </c:pt>
                <c:pt idx="6">
                  <c:v>0.94639999999999991</c:v>
                </c:pt>
                <c:pt idx="7">
                  <c:v>0.93979999999999997</c:v>
                </c:pt>
                <c:pt idx="8">
                  <c:v>0.93279999999999996</c:v>
                </c:pt>
                <c:pt idx="9">
                  <c:v>0.92420000000000002</c:v>
                </c:pt>
                <c:pt idx="10">
                  <c:v>0.91600000000000004</c:v>
                </c:pt>
                <c:pt idx="11">
                  <c:v>0.90800000000000003</c:v>
                </c:pt>
                <c:pt idx="12">
                  <c:v>0.89839999999999998</c:v>
                </c:pt>
                <c:pt idx="13">
                  <c:v>0.88839999999999997</c:v>
                </c:pt>
                <c:pt idx="14">
                  <c:v>0.88119999999999998</c:v>
                </c:pt>
                <c:pt idx="15">
                  <c:v>0.87319999999999998</c:v>
                </c:pt>
                <c:pt idx="16">
                  <c:v>0.86499999999999999</c:v>
                </c:pt>
                <c:pt idx="17">
                  <c:v>0.85580000000000001</c:v>
                </c:pt>
                <c:pt idx="18">
                  <c:v>0.84760000000000002</c:v>
                </c:pt>
                <c:pt idx="19">
                  <c:v>0.84039999999999992</c:v>
                </c:pt>
                <c:pt idx="20">
                  <c:v>0.83179999999999998</c:v>
                </c:pt>
                <c:pt idx="21">
                  <c:v>0.82200000000000006</c:v>
                </c:pt>
                <c:pt idx="22">
                  <c:v>0.81420000000000003</c:v>
                </c:pt>
                <c:pt idx="23">
                  <c:v>0.80679999999999996</c:v>
                </c:pt>
                <c:pt idx="24">
                  <c:v>0.80079999999999996</c:v>
                </c:pt>
                <c:pt idx="25">
                  <c:v>0.79559999999999997</c:v>
                </c:pt>
              </c:numCache>
            </c:numRef>
          </c:val>
        </c:ser>
        <c:ser>
          <c:idx val="15"/>
          <c:order val="15"/>
          <c:tx>
            <c:v>T = 55</c:v>
          </c:tx>
          <c:spPr>
            <a:ln w="12700">
              <a:solidFill>
                <a:srgbClr val="FFCC99"/>
              </a:solidFill>
              <a:prstDash val="solid"/>
            </a:ln>
          </c:spPr>
          <c:marker>
            <c:symbol val="plus"/>
            <c:size val="5"/>
            <c:spPr>
              <a:noFill/>
              <a:ln>
                <a:solidFill>
                  <a:srgbClr val="FFCC99"/>
                </a:solidFill>
                <a:prstDash val="solid"/>
              </a:ln>
            </c:spPr>
          </c:marker>
          <c:trendline>
            <c:spPr>
              <a:ln w="25400">
                <a:solidFill>
                  <a:srgbClr val="000000"/>
                </a:solidFill>
                <a:prstDash val="solid"/>
              </a:ln>
            </c:spPr>
            <c:trendlineType val="poly"/>
            <c:order val="3"/>
          </c:trendline>
          <c:val>
            <c:numRef>
              <c:f>'DATA - MW = 17.40 (Sp Gr= 0.6)'!$U$8:$U$33</c:f>
              <c:numCache>
                <c:formatCode>General</c:formatCode>
                <c:ptCount val="26"/>
                <c:pt idx="0">
                  <c:v>1</c:v>
                </c:pt>
                <c:pt idx="1">
                  <c:v>0.98599999999999999</c:v>
                </c:pt>
                <c:pt idx="2">
                  <c:v>0.97639999999999993</c:v>
                </c:pt>
                <c:pt idx="3">
                  <c:v>0.96839999999999993</c:v>
                </c:pt>
                <c:pt idx="4">
                  <c:v>0.96139999999999992</c:v>
                </c:pt>
                <c:pt idx="5">
                  <c:v>0.95199999999999996</c:v>
                </c:pt>
                <c:pt idx="6">
                  <c:v>0.94419999999999993</c:v>
                </c:pt>
                <c:pt idx="7">
                  <c:v>0.93740000000000001</c:v>
                </c:pt>
                <c:pt idx="8">
                  <c:v>0.9304</c:v>
                </c:pt>
                <c:pt idx="9">
                  <c:v>0.92160000000000009</c:v>
                </c:pt>
                <c:pt idx="10">
                  <c:v>0.91300000000000003</c:v>
                </c:pt>
                <c:pt idx="11">
                  <c:v>0.90400000000000003</c:v>
                </c:pt>
                <c:pt idx="12">
                  <c:v>0.89419999999999999</c:v>
                </c:pt>
                <c:pt idx="13">
                  <c:v>0.88419999999999999</c:v>
                </c:pt>
                <c:pt idx="14">
                  <c:v>0.87660000000000005</c:v>
                </c:pt>
                <c:pt idx="15">
                  <c:v>0.86860000000000004</c:v>
                </c:pt>
                <c:pt idx="16">
                  <c:v>0.86</c:v>
                </c:pt>
                <c:pt idx="17">
                  <c:v>0.85039999999999993</c:v>
                </c:pt>
                <c:pt idx="18">
                  <c:v>0.84179999999999999</c:v>
                </c:pt>
                <c:pt idx="19">
                  <c:v>0.83419999999999994</c:v>
                </c:pt>
                <c:pt idx="20">
                  <c:v>0.82539999999999991</c:v>
                </c:pt>
                <c:pt idx="21">
                  <c:v>0.81600000000000006</c:v>
                </c:pt>
                <c:pt idx="22">
                  <c:v>0.80759999999999998</c:v>
                </c:pt>
                <c:pt idx="23">
                  <c:v>0.7994</c:v>
                </c:pt>
                <c:pt idx="24">
                  <c:v>0.79339999999999999</c:v>
                </c:pt>
                <c:pt idx="25">
                  <c:v>0.78780000000000006</c:v>
                </c:pt>
              </c:numCache>
            </c:numRef>
          </c:val>
        </c:ser>
        <c:ser>
          <c:idx val="16"/>
          <c:order val="16"/>
          <c:tx>
            <c:v>T = 45</c:v>
          </c:tx>
          <c:spPr>
            <a:ln w="12700">
              <a:solidFill>
                <a:srgbClr val="3366FF"/>
              </a:solidFill>
              <a:prstDash val="solid"/>
            </a:ln>
          </c:spPr>
          <c:marker>
            <c:symbol val="dot"/>
            <c:size val="5"/>
            <c:spPr>
              <a:noFill/>
              <a:ln>
                <a:solidFill>
                  <a:srgbClr val="3366FF"/>
                </a:solidFill>
                <a:prstDash val="solid"/>
              </a:ln>
            </c:spPr>
          </c:marker>
          <c:trendline>
            <c:spPr>
              <a:ln w="25400">
                <a:solidFill>
                  <a:srgbClr val="000000"/>
                </a:solidFill>
                <a:prstDash val="solid"/>
              </a:ln>
            </c:spPr>
            <c:trendlineType val="poly"/>
            <c:order val="3"/>
          </c:trendline>
          <c:val>
            <c:numRef>
              <c:f>'DATA - MW = 17.40 (Sp Gr= 0.6)'!$W$8:$W$33</c:f>
              <c:numCache>
                <c:formatCode>General</c:formatCode>
                <c:ptCount val="26"/>
                <c:pt idx="0">
                  <c:v>1</c:v>
                </c:pt>
                <c:pt idx="1">
                  <c:v>0.98439999999999994</c:v>
                </c:pt>
                <c:pt idx="2">
                  <c:v>0.97439999999999993</c:v>
                </c:pt>
                <c:pt idx="3">
                  <c:v>0.96660000000000001</c:v>
                </c:pt>
                <c:pt idx="4">
                  <c:v>0.95919999999999994</c:v>
                </c:pt>
                <c:pt idx="5">
                  <c:v>0.94919999999999993</c:v>
                </c:pt>
                <c:pt idx="6">
                  <c:v>0.94079999999999997</c:v>
                </c:pt>
                <c:pt idx="7">
                  <c:v>0.93340000000000001</c:v>
                </c:pt>
                <c:pt idx="8">
                  <c:v>0.92560000000000009</c:v>
                </c:pt>
                <c:pt idx="9">
                  <c:v>0.91600000000000004</c:v>
                </c:pt>
                <c:pt idx="10">
                  <c:v>0.90660000000000007</c:v>
                </c:pt>
                <c:pt idx="11">
                  <c:v>0.89639999999999997</c:v>
                </c:pt>
                <c:pt idx="12">
                  <c:v>0.88639999999999997</c:v>
                </c:pt>
                <c:pt idx="13">
                  <c:v>0.87619999999999998</c:v>
                </c:pt>
                <c:pt idx="14">
                  <c:v>0.86760000000000004</c:v>
                </c:pt>
                <c:pt idx="15">
                  <c:v>0.85899999999999999</c:v>
                </c:pt>
                <c:pt idx="16">
                  <c:v>0.85</c:v>
                </c:pt>
                <c:pt idx="17">
                  <c:v>0.84</c:v>
                </c:pt>
                <c:pt idx="18">
                  <c:v>0.8306</c:v>
                </c:pt>
                <c:pt idx="19">
                  <c:v>0.82140000000000002</c:v>
                </c:pt>
                <c:pt idx="20">
                  <c:v>0.81199999999999994</c:v>
                </c:pt>
                <c:pt idx="21">
                  <c:v>0.80280000000000007</c:v>
                </c:pt>
                <c:pt idx="22">
                  <c:v>0.79300000000000004</c:v>
                </c:pt>
                <c:pt idx="23">
                  <c:v>0.78400000000000003</c:v>
                </c:pt>
                <c:pt idx="24">
                  <c:v>0.77760000000000007</c:v>
                </c:pt>
                <c:pt idx="25">
                  <c:v>0.77180000000000004</c:v>
                </c:pt>
              </c:numCache>
            </c:numRef>
          </c:val>
        </c:ser>
        <c:ser>
          <c:idx val="17"/>
          <c:order val="17"/>
          <c:tx>
            <c:v>T = 40</c:v>
          </c:tx>
          <c:spPr>
            <a:ln w="12700">
              <a:solidFill>
                <a:srgbClr val="33CCCC"/>
              </a:solidFill>
              <a:prstDash val="solid"/>
            </a:ln>
          </c:spPr>
          <c:marker>
            <c:symbol val="dash"/>
            <c:size val="5"/>
            <c:spPr>
              <a:noFill/>
              <a:ln>
                <a:solidFill>
                  <a:srgbClr val="33CCCC"/>
                </a:solidFill>
                <a:prstDash val="solid"/>
              </a:ln>
            </c:spPr>
          </c:marker>
          <c:trendline>
            <c:spPr>
              <a:ln w="25400">
                <a:solidFill>
                  <a:srgbClr val="000000"/>
                </a:solidFill>
                <a:prstDash val="solid"/>
              </a:ln>
            </c:spPr>
            <c:trendlineType val="poly"/>
            <c:order val="3"/>
          </c:trendline>
          <c:val>
            <c:numRef>
              <c:f>'DATA - MW = 17.40 (Sp Gr= 0.6)'!$X$8:$X$33</c:f>
              <c:numCache>
                <c:formatCode>General</c:formatCode>
                <c:ptCount val="26"/>
                <c:pt idx="0">
                  <c:v>1</c:v>
                </c:pt>
                <c:pt idx="1">
                  <c:v>0.98380000000000001</c:v>
                </c:pt>
                <c:pt idx="2">
                  <c:v>0.9738</c:v>
                </c:pt>
                <c:pt idx="3">
                  <c:v>0.96619999999999995</c:v>
                </c:pt>
                <c:pt idx="4">
                  <c:v>0.95839999999999992</c:v>
                </c:pt>
                <c:pt idx="5">
                  <c:v>0.94839999999999991</c:v>
                </c:pt>
                <c:pt idx="6">
                  <c:v>0.93959999999999999</c:v>
                </c:pt>
                <c:pt idx="7">
                  <c:v>0.93180000000000007</c:v>
                </c:pt>
                <c:pt idx="8">
                  <c:v>0.92320000000000002</c:v>
                </c:pt>
                <c:pt idx="9">
                  <c:v>0.91300000000000003</c:v>
                </c:pt>
                <c:pt idx="10">
                  <c:v>0.9032</c:v>
                </c:pt>
                <c:pt idx="11">
                  <c:v>0.89280000000000004</c:v>
                </c:pt>
                <c:pt idx="12">
                  <c:v>0.88280000000000003</c:v>
                </c:pt>
                <c:pt idx="13">
                  <c:v>0.87239999999999995</c:v>
                </c:pt>
                <c:pt idx="14">
                  <c:v>0.86319999999999997</c:v>
                </c:pt>
                <c:pt idx="15">
                  <c:v>0.85399999999999998</c:v>
                </c:pt>
                <c:pt idx="16">
                  <c:v>0.84499999999999997</c:v>
                </c:pt>
                <c:pt idx="17">
                  <c:v>0.83499999999999996</c:v>
                </c:pt>
                <c:pt idx="18">
                  <c:v>0.82520000000000004</c:v>
                </c:pt>
                <c:pt idx="19">
                  <c:v>0.81479999999999997</c:v>
                </c:pt>
                <c:pt idx="20">
                  <c:v>0.80499999999999994</c:v>
                </c:pt>
                <c:pt idx="21">
                  <c:v>0.79560000000000008</c:v>
                </c:pt>
                <c:pt idx="22">
                  <c:v>0.78500000000000003</c:v>
                </c:pt>
                <c:pt idx="23">
                  <c:v>0.77600000000000002</c:v>
                </c:pt>
                <c:pt idx="24">
                  <c:v>0.76919999999999999</c:v>
                </c:pt>
                <c:pt idx="25">
                  <c:v>0.76360000000000006</c:v>
                </c:pt>
              </c:numCache>
            </c:numRef>
          </c:val>
        </c:ser>
        <c:ser>
          <c:idx val="18"/>
          <c:order val="18"/>
          <c:tx>
            <c:v>T = 35</c:v>
          </c:tx>
          <c:spPr>
            <a:ln w="12700">
              <a:solidFill>
                <a:srgbClr val="99CC00"/>
              </a:solidFill>
              <a:prstDash val="solid"/>
            </a:ln>
          </c:spPr>
          <c:marker>
            <c:symbol val="diamond"/>
            <c:size val="5"/>
            <c:spPr>
              <a:solidFill>
                <a:srgbClr val="99CC00"/>
              </a:solidFill>
              <a:ln>
                <a:solidFill>
                  <a:srgbClr val="99CC00"/>
                </a:solidFill>
                <a:prstDash val="solid"/>
              </a:ln>
            </c:spPr>
          </c:marker>
          <c:trendline>
            <c:spPr>
              <a:ln w="25400">
                <a:solidFill>
                  <a:srgbClr val="000000"/>
                </a:solidFill>
                <a:prstDash val="solid"/>
              </a:ln>
            </c:spPr>
            <c:trendlineType val="poly"/>
            <c:order val="3"/>
          </c:trendline>
          <c:val>
            <c:numRef>
              <c:f>'DATA - MW = 17.40 (Sp Gr= 0.6)'!$Y$8:$Y$33</c:f>
              <c:numCache>
                <c:formatCode>General</c:formatCode>
                <c:ptCount val="26"/>
                <c:pt idx="0">
                  <c:v>1</c:v>
                </c:pt>
                <c:pt idx="1">
                  <c:v>0.98319999999999996</c:v>
                </c:pt>
                <c:pt idx="2">
                  <c:v>0.97319999999999995</c:v>
                </c:pt>
                <c:pt idx="3">
                  <c:v>0.96579999999999999</c:v>
                </c:pt>
                <c:pt idx="4">
                  <c:v>0.95760000000000001</c:v>
                </c:pt>
                <c:pt idx="5">
                  <c:v>0.9476</c:v>
                </c:pt>
                <c:pt idx="6">
                  <c:v>0.93840000000000001</c:v>
                </c:pt>
                <c:pt idx="7">
                  <c:v>0.93020000000000003</c:v>
                </c:pt>
                <c:pt idx="8">
                  <c:v>0.92080000000000006</c:v>
                </c:pt>
                <c:pt idx="9">
                  <c:v>0.91</c:v>
                </c:pt>
                <c:pt idx="10">
                  <c:v>0.89980000000000004</c:v>
                </c:pt>
                <c:pt idx="11">
                  <c:v>0.88919999999999999</c:v>
                </c:pt>
                <c:pt idx="12">
                  <c:v>0.87919999999999998</c:v>
                </c:pt>
                <c:pt idx="13">
                  <c:v>0.86860000000000004</c:v>
                </c:pt>
                <c:pt idx="14">
                  <c:v>0.85880000000000001</c:v>
                </c:pt>
                <c:pt idx="15">
                  <c:v>0.84899999999999998</c:v>
                </c:pt>
                <c:pt idx="16">
                  <c:v>0.84</c:v>
                </c:pt>
                <c:pt idx="17">
                  <c:v>0.83</c:v>
                </c:pt>
                <c:pt idx="18">
                  <c:v>0.81979999999999997</c:v>
                </c:pt>
                <c:pt idx="19">
                  <c:v>0.80820000000000003</c:v>
                </c:pt>
                <c:pt idx="20">
                  <c:v>0.79800000000000004</c:v>
                </c:pt>
                <c:pt idx="21">
                  <c:v>0.78839999999999999</c:v>
                </c:pt>
                <c:pt idx="22">
                  <c:v>0.77700000000000002</c:v>
                </c:pt>
                <c:pt idx="23">
                  <c:v>0.76800000000000002</c:v>
                </c:pt>
                <c:pt idx="24">
                  <c:v>0.76080000000000003</c:v>
                </c:pt>
                <c:pt idx="25">
                  <c:v>0.75539999999999996</c:v>
                </c:pt>
              </c:numCache>
            </c:numRef>
          </c:val>
        </c:ser>
        <c:ser>
          <c:idx val="19"/>
          <c:order val="19"/>
          <c:tx>
            <c:v>T = 30</c:v>
          </c:tx>
          <c:spPr>
            <a:ln w="12700">
              <a:solidFill>
                <a:srgbClr val="FFCC00"/>
              </a:solidFill>
              <a:prstDash val="solid"/>
            </a:ln>
          </c:spPr>
          <c:marker>
            <c:symbol val="square"/>
            <c:size val="5"/>
            <c:spPr>
              <a:solidFill>
                <a:srgbClr val="FFCC00"/>
              </a:solidFill>
              <a:ln>
                <a:solidFill>
                  <a:srgbClr val="FFCC00"/>
                </a:solidFill>
                <a:prstDash val="solid"/>
              </a:ln>
            </c:spPr>
          </c:marker>
          <c:trendline>
            <c:spPr>
              <a:ln w="25400">
                <a:solidFill>
                  <a:srgbClr val="000000"/>
                </a:solidFill>
                <a:prstDash val="solid"/>
              </a:ln>
            </c:spPr>
            <c:trendlineType val="poly"/>
            <c:order val="3"/>
          </c:trendline>
          <c:val>
            <c:numRef>
              <c:f>'DATA - MW = 17.40 (Sp Gr= 0.6)'!$Z$8:$Z$33</c:f>
              <c:numCache>
                <c:formatCode>General</c:formatCode>
                <c:ptCount val="26"/>
                <c:pt idx="0">
                  <c:v>1</c:v>
                </c:pt>
                <c:pt idx="1">
                  <c:v>0.98260000000000003</c:v>
                </c:pt>
                <c:pt idx="2">
                  <c:v>0.97260000000000002</c:v>
                </c:pt>
                <c:pt idx="3">
                  <c:v>0.96539999999999992</c:v>
                </c:pt>
                <c:pt idx="4">
                  <c:v>0.95679999999999998</c:v>
                </c:pt>
                <c:pt idx="5">
                  <c:v>0.94679999999999997</c:v>
                </c:pt>
                <c:pt idx="6">
                  <c:v>0.93720000000000003</c:v>
                </c:pt>
                <c:pt idx="7">
                  <c:v>0.92860000000000009</c:v>
                </c:pt>
                <c:pt idx="8">
                  <c:v>0.91839999999999999</c:v>
                </c:pt>
                <c:pt idx="9">
                  <c:v>0.90700000000000003</c:v>
                </c:pt>
                <c:pt idx="10">
                  <c:v>0.89639999999999997</c:v>
                </c:pt>
                <c:pt idx="11">
                  <c:v>0.88560000000000005</c:v>
                </c:pt>
                <c:pt idx="12">
                  <c:v>0.87560000000000004</c:v>
                </c:pt>
                <c:pt idx="13">
                  <c:v>0.86480000000000001</c:v>
                </c:pt>
                <c:pt idx="14">
                  <c:v>0.85439999999999994</c:v>
                </c:pt>
                <c:pt idx="15">
                  <c:v>0.84399999999999997</c:v>
                </c:pt>
                <c:pt idx="16">
                  <c:v>0.83499999999999996</c:v>
                </c:pt>
                <c:pt idx="17">
                  <c:v>0.82499999999999996</c:v>
                </c:pt>
                <c:pt idx="18">
                  <c:v>0.81440000000000001</c:v>
                </c:pt>
                <c:pt idx="19">
                  <c:v>0.80159999999999998</c:v>
                </c:pt>
                <c:pt idx="20">
                  <c:v>0.79100000000000004</c:v>
                </c:pt>
                <c:pt idx="21">
                  <c:v>0.78120000000000001</c:v>
                </c:pt>
                <c:pt idx="22">
                  <c:v>0.76900000000000002</c:v>
                </c:pt>
                <c:pt idx="23">
                  <c:v>0.76</c:v>
                </c:pt>
                <c:pt idx="24">
                  <c:v>0.75239999999999996</c:v>
                </c:pt>
                <c:pt idx="25">
                  <c:v>0.74719999999999998</c:v>
                </c:pt>
              </c:numCache>
            </c:numRef>
          </c:val>
        </c:ser>
        <c:ser>
          <c:idx val="20"/>
          <c:order val="20"/>
          <c:tx>
            <c:v>T = 20</c:v>
          </c:tx>
          <c:spPr>
            <a:ln w="12700">
              <a:solidFill>
                <a:srgbClr val="FF9900"/>
              </a:solidFill>
              <a:prstDash val="solid"/>
            </a:ln>
          </c:spPr>
          <c:marker>
            <c:symbol val="triangle"/>
            <c:size val="5"/>
            <c:spPr>
              <a:solidFill>
                <a:srgbClr val="FF9900"/>
              </a:solidFill>
              <a:ln>
                <a:solidFill>
                  <a:srgbClr val="FF9900"/>
                </a:solidFill>
                <a:prstDash val="solid"/>
              </a:ln>
            </c:spPr>
          </c:marker>
          <c:trendline>
            <c:spPr>
              <a:ln w="25400">
                <a:solidFill>
                  <a:srgbClr val="000000"/>
                </a:solidFill>
                <a:prstDash val="solid"/>
              </a:ln>
            </c:spPr>
            <c:trendlineType val="poly"/>
            <c:order val="3"/>
          </c:trendline>
          <c:val>
            <c:numRef>
              <c:f>'DATA - MW = 17.40 (Sp Gr= 0.6)'!$AB$8:$AB$33</c:f>
              <c:numCache>
                <c:formatCode>General</c:formatCode>
                <c:ptCount val="26"/>
                <c:pt idx="0">
                  <c:v>1</c:v>
                </c:pt>
                <c:pt idx="1">
                  <c:v>0.98160000000000003</c:v>
                </c:pt>
                <c:pt idx="2">
                  <c:v>0.9708</c:v>
                </c:pt>
                <c:pt idx="3">
                  <c:v>0.96299999999999997</c:v>
                </c:pt>
                <c:pt idx="4">
                  <c:v>0.95319999999999994</c:v>
                </c:pt>
                <c:pt idx="5">
                  <c:v>0.94259999999999999</c:v>
                </c:pt>
                <c:pt idx="6">
                  <c:v>0.93280000000000007</c:v>
                </c:pt>
                <c:pt idx="7">
                  <c:v>0.92280000000000006</c:v>
                </c:pt>
                <c:pt idx="8">
                  <c:v>0.91100000000000003</c:v>
                </c:pt>
                <c:pt idx="9">
                  <c:v>0.89839999999999998</c:v>
                </c:pt>
                <c:pt idx="10">
                  <c:v>0.88700000000000001</c:v>
                </c:pt>
                <c:pt idx="11">
                  <c:v>0.876</c:v>
                </c:pt>
                <c:pt idx="12">
                  <c:v>0.86519999999999997</c:v>
                </c:pt>
                <c:pt idx="13">
                  <c:v>0.85339999999999994</c:v>
                </c:pt>
                <c:pt idx="14">
                  <c:v>0.84240000000000004</c:v>
                </c:pt>
                <c:pt idx="15">
                  <c:v>0.83119999999999994</c:v>
                </c:pt>
                <c:pt idx="16">
                  <c:v>0.82099999999999995</c:v>
                </c:pt>
                <c:pt idx="17">
                  <c:v>0.81019999999999992</c:v>
                </c:pt>
                <c:pt idx="18">
                  <c:v>0.79880000000000007</c:v>
                </c:pt>
                <c:pt idx="19">
                  <c:v>0.78420000000000001</c:v>
                </c:pt>
                <c:pt idx="20">
                  <c:v>0.77239999999999998</c:v>
                </c:pt>
                <c:pt idx="21">
                  <c:v>0.76200000000000001</c:v>
                </c:pt>
                <c:pt idx="22">
                  <c:v>0.749</c:v>
                </c:pt>
                <c:pt idx="23">
                  <c:v>0.73939999999999995</c:v>
                </c:pt>
                <c:pt idx="24">
                  <c:v>0.73040000000000005</c:v>
                </c:pt>
                <c:pt idx="25">
                  <c:v>0.72460000000000002</c:v>
                </c:pt>
              </c:numCache>
            </c:numRef>
          </c:val>
        </c:ser>
        <c:ser>
          <c:idx val="21"/>
          <c:order val="21"/>
          <c:tx>
            <c:v>T = 15</c:v>
          </c:tx>
          <c:spPr>
            <a:ln w="12700">
              <a:solidFill>
                <a:srgbClr val="FF6600"/>
              </a:solidFill>
              <a:prstDash val="solid"/>
            </a:ln>
          </c:spPr>
          <c:marker>
            <c:symbol val="x"/>
            <c:size val="5"/>
            <c:spPr>
              <a:noFill/>
              <a:ln>
                <a:solidFill>
                  <a:srgbClr val="FF6600"/>
                </a:solidFill>
                <a:prstDash val="solid"/>
              </a:ln>
            </c:spPr>
          </c:marker>
          <c:trendline>
            <c:spPr>
              <a:ln w="25400">
                <a:solidFill>
                  <a:srgbClr val="000000"/>
                </a:solidFill>
                <a:prstDash val="solid"/>
              </a:ln>
            </c:spPr>
            <c:trendlineType val="poly"/>
            <c:order val="3"/>
          </c:trendline>
          <c:val>
            <c:numRef>
              <c:f>'DATA - MW = 17.40 (Sp Gr= 0.6)'!$AC$8:$AC$33</c:f>
              <c:numCache>
                <c:formatCode>General</c:formatCode>
                <c:ptCount val="26"/>
                <c:pt idx="0">
                  <c:v>1</c:v>
                </c:pt>
                <c:pt idx="1">
                  <c:v>0.98119999999999996</c:v>
                </c:pt>
                <c:pt idx="2">
                  <c:v>0.96960000000000002</c:v>
                </c:pt>
                <c:pt idx="3">
                  <c:v>0.96099999999999997</c:v>
                </c:pt>
                <c:pt idx="4">
                  <c:v>0.95039999999999991</c:v>
                </c:pt>
                <c:pt idx="5">
                  <c:v>0.93920000000000003</c:v>
                </c:pt>
                <c:pt idx="6">
                  <c:v>0.92960000000000009</c:v>
                </c:pt>
                <c:pt idx="7">
                  <c:v>0.91860000000000008</c:v>
                </c:pt>
                <c:pt idx="8">
                  <c:v>0.90600000000000003</c:v>
                </c:pt>
                <c:pt idx="9">
                  <c:v>0.89280000000000004</c:v>
                </c:pt>
                <c:pt idx="10">
                  <c:v>0.88100000000000001</c:v>
                </c:pt>
                <c:pt idx="11">
                  <c:v>0.87</c:v>
                </c:pt>
                <c:pt idx="12">
                  <c:v>0.85839999999999994</c:v>
                </c:pt>
                <c:pt idx="13">
                  <c:v>0.8458</c:v>
                </c:pt>
                <c:pt idx="14">
                  <c:v>0.83479999999999999</c:v>
                </c:pt>
                <c:pt idx="15">
                  <c:v>0.82340000000000002</c:v>
                </c:pt>
                <c:pt idx="16">
                  <c:v>0.81199999999999994</c:v>
                </c:pt>
                <c:pt idx="17">
                  <c:v>0.8004</c:v>
                </c:pt>
                <c:pt idx="18">
                  <c:v>0.78860000000000008</c:v>
                </c:pt>
                <c:pt idx="19">
                  <c:v>0.77339999999999998</c:v>
                </c:pt>
                <c:pt idx="20">
                  <c:v>0.76080000000000003</c:v>
                </c:pt>
                <c:pt idx="21">
                  <c:v>0.75</c:v>
                </c:pt>
                <c:pt idx="22">
                  <c:v>0.73699999999999999</c:v>
                </c:pt>
                <c:pt idx="23">
                  <c:v>0.7268</c:v>
                </c:pt>
                <c:pt idx="24">
                  <c:v>0.71679999999999999</c:v>
                </c:pt>
                <c:pt idx="25">
                  <c:v>0.71020000000000005</c:v>
                </c:pt>
              </c:numCache>
            </c:numRef>
          </c:val>
        </c:ser>
        <c:ser>
          <c:idx val="22"/>
          <c:order val="22"/>
          <c:tx>
            <c:v>T = 10</c:v>
          </c:tx>
          <c:spPr>
            <a:ln w="12700">
              <a:solidFill>
                <a:srgbClr val="666699"/>
              </a:solidFill>
              <a:prstDash val="solid"/>
            </a:ln>
          </c:spPr>
          <c:marker>
            <c:symbol val="star"/>
            <c:size val="5"/>
            <c:spPr>
              <a:noFill/>
              <a:ln>
                <a:solidFill>
                  <a:srgbClr val="666699"/>
                </a:solidFill>
                <a:prstDash val="solid"/>
              </a:ln>
            </c:spPr>
          </c:marker>
          <c:trendline>
            <c:spPr>
              <a:ln w="25400">
                <a:solidFill>
                  <a:srgbClr val="000000"/>
                </a:solidFill>
                <a:prstDash val="solid"/>
              </a:ln>
            </c:spPr>
            <c:trendlineType val="poly"/>
            <c:order val="3"/>
          </c:trendline>
          <c:val>
            <c:numRef>
              <c:f>'DATA - MW = 17.40 (Sp Gr= 0.6)'!$AD$8:$AD$33</c:f>
              <c:numCache>
                <c:formatCode>General</c:formatCode>
                <c:ptCount val="26"/>
                <c:pt idx="0">
                  <c:v>1</c:v>
                </c:pt>
                <c:pt idx="1">
                  <c:v>0.98080000000000001</c:v>
                </c:pt>
                <c:pt idx="2">
                  <c:v>0.96839999999999993</c:v>
                </c:pt>
                <c:pt idx="3">
                  <c:v>0.95899999999999996</c:v>
                </c:pt>
                <c:pt idx="4">
                  <c:v>0.9476</c:v>
                </c:pt>
                <c:pt idx="5">
                  <c:v>0.93579999999999997</c:v>
                </c:pt>
                <c:pt idx="6">
                  <c:v>0.9264</c:v>
                </c:pt>
                <c:pt idx="7">
                  <c:v>0.91439999999999999</c:v>
                </c:pt>
                <c:pt idx="8">
                  <c:v>0.90100000000000002</c:v>
                </c:pt>
                <c:pt idx="9">
                  <c:v>0.88719999999999999</c:v>
                </c:pt>
                <c:pt idx="10">
                  <c:v>0.875</c:v>
                </c:pt>
                <c:pt idx="11">
                  <c:v>0.86399999999999999</c:v>
                </c:pt>
                <c:pt idx="12">
                  <c:v>0.85160000000000002</c:v>
                </c:pt>
                <c:pt idx="13">
                  <c:v>0.83819999999999995</c:v>
                </c:pt>
                <c:pt idx="14">
                  <c:v>0.82720000000000005</c:v>
                </c:pt>
                <c:pt idx="15">
                  <c:v>0.81559999999999999</c:v>
                </c:pt>
                <c:pt idx="16">
                  <c:v>0.80300000000000005</c:v>
                </c:pt>
                <c:pt idx="17">
                  <c:v>0.79059999999999997</c:v>
                </c:pt>
                <c:pt idx="18">
                  <c:v>0.77839999999999998</c:v>
                </c:pt>
                <c:pt idx="19">
                  <c:v>0.76260000000000006</c:v>
                </c:pt>
                <c:pt idx="20">
                  <c:v>0.74919999999999998</c:v>
                </c:pt>
                <c:pt idx="21">
                  <c:v>0.73799999999999999</c:v>
                </c:pt>
                <c:pt idx="22">
                  <c:v>0.72499999999999998</c:v>
                </c:pt>
                <c:pt idx="23">
                  <c:v>0.71419999999999995</c:v>
                </c:pt>
                <c:pt idx="24">
                  <c:v>0.70320000000000005</c:v>
                </c:pt>
                <c:pt idx="25">
                  <c:v>0.69579999999999997</c:v>
                </c:pt>
              </c:numCache>
            </c:numRef>
          </c:val>
        </c:ser>
        <c:ser>
          <c:idx val="23"/>
          <c:order val="23"/>
          <c:tx>
            <c:v>T = 5</c:v>
          </c:tx>
          <c:spPr>
            <a:ln w="12700">
              <a:solidFill>
                <a:srgbClr val="969696"/>
              </a:solidFill>
              <a:prstDash val="solid"/>
            </a:ln>
          </c:spPr>
          <c:marker>
            <c:symbol val="circle"/>
            <c:size val="5"/>
            <c:spPr>
              <a:solidFill>
                <a:srgbClr val="969696"/>
              </a:solidFill>
              <a:ln>
                <a:solidFill>
                  <a:srgbClr val="969696"/>
                </a:solidFill>
                <a:prstDash val="solid"/>
              </a:ln>
            </c:spPr>
          </c:marker>
          <c:trendline>
            <c:spPr>
              <a:ln w="25400">
                <a:solidFill>
                  <a:srgbClr val="000000"/>
                </a:solidFill>
                <a:prstDash val="solid"/>
              </a:ln>
            </c:spPr>
            <c:trendlineType val="poly"/>
            <c:order val="3"/>
          </c:trendline>
          <c:val>
            <c:numRef>
              <c:f>'DATA - MW = 17.40 (Sp Gr= 0.6)'!$AE$8:$AE$33</c:f>
              <c:numCache>
                <c:formatCode>General</c:formatCode>
                <c:ptCount val="26"/>
                <c:pt idx="0">
                  <c:v>1</c:v>
                </c:pt>
                <c:pt idx="1">
                  <c:v>0.98039999999999994</c:v>
                </c:pt>
                <c:pt idx="2">
                  <c:v>0.96719999999999995</c:v>
                </c:pt>
                <c:pt idx="3">
                  <c:v>0.95699999999999996</c:v>
                </c:pt>
                <c:pt idx="4">
                  <c:v>0.94479999999999997</c:v>
                </c:pt>
                <c:pt idx="5">
                  <c:v>0.93240000000000001</c:v>
                </c:pt>
                <c:pt idx="6">
                  <c:v>0.92320000000000002</c:v>
                </c:pt>
                <c:pt idx="7">
                  <c:v>0.91020000000000001</c:v>
                </c:pt>
                <c:pt idx="8">
                  <c:v>0.89600000000000002</c:v>
                </c:pt>
                <c:pt idx="9">
                  <c:v>0.88160000000000005</c:v>
                </c:pt>
                <c:pt idx="10">
                  <c:v>0.86899999999999999</c:v>
                </c:pt>
                <c:pt idx="11">
                  <c:v>0.85799999999999998</c:v>
                </c:pt>
                <c:pt idx="12">
                  <c:v>0.8448</c:v>
                </c:pt>
                <c:pt idx="13">
                  <c:v>0.8306</c:v>
                </c:pt>
                <c:pt idx="14">
                  <c:v>0.8196</c:v>
                </c:pt>
                <c:pt idx="15">
                  <c:v>0.80780000000000007</c:v>
                </c:pt>
                <c:pt idx="16">
                  <c:v>0.79400000000000004</c:v>
                </c:pt>
                <c:pt idx="17">
                  <c:v>0.78080000000000005</c:v>
                </c:pt>
                <c:pt idx="18">
                  <c:v>0.76819999999999999</c:v>
                </c:pt>
                <c:pt idx="19">
                  <c:v>0.75180000000000002</c:v>
                </c:pt>
                <c:pt idx="20">
                  <c:v>0.73760000000000003</c:v>
                </c:pt>
                <c:pt idx="21">
                  <c:v>0.72599999999999998</c:v>
                </c:pt>
                <c:pt idx="22">
                  <c:v>0.71299999999999997</c:v>
                </c:pt>
                <c:pt idx="23">
                  <c:v>0.7016</c:v>
                </c:pt>
                <c:pt idx="24">
                  <c:v>0.68959999999999999</c:v>
                </c:pt>
                <c:pt idx="25">
                  <c:v>0.68140000000000001</c:v>
                </c:pt>
              </c:numCache>
            </c:numRef>
          </c:val>
        </c:ser>
        <c:marker val="1"/>
        <c:axId val="155108096"/>
        <c:axId val="155110016"/>
      </c:lineChart>
      <c:catAx>
        <c:axId val="155108096"/>
        <c:scaling>
          <c:orientation val="minMax"/>
        </c:scaling>
        <c:axPos val="b"/>
        <c:title>
          <c:tx>
            <c:rich>
              <a:bodyPr/>
              <a:lstStyle/>
              <a:p>
                <a:pPr>
                  <a:defRPr sz="1000" b="1" i="0" u="none" strike="noStrike" baseline="0">
                    <a:solidFill>
                      <a:srgbClr val="000000"/>
                    </a:solidFill>
                    <a:latin typeface="Arial"/>
                    <a:ea typeface="Arial"/>
                    <a:cs typeface="Arial"/>
                  </a:defRPr>
                </a:pPr>
                <a:r>
                  <a:rPr lang="en-US"/>
                  <a:t>Pressure</a:t>
                </a:r>
              </a:p>
            </c:rich>
          </c:tx>
          <c:layout>
            <c:manualLayout>
              <c:xMode val="edge"/>
              <c:yMode val="edge"/>
              <c:x val="0.4317425083240844"/>
              <c:y val="0.94616639477977149"/>
            </c:manualLayout>
          </c:layout>
          <c:spPr>
            <a:noFill/>
            <a:ln w="25400">
              <a:noFill/>
            </a:ln>
          </c:spPr>
        </c:title>
        <c:numFmt formatCode="General" sourceLinked="1"/>
        <c:minorTickMark val="cross"/>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55110016"/>
        <c:crosses val="autoZero"/>
        <c:auto val="1"/>
        <c:lblAlgn val="ctr"/>
        <c:lblOffset val="100"/>
        <c:tickLblSkip val="4"/>
        <c:tickMarkSkip val="1"/>
      </c:catAx>
      <c:valAx>
        <c:axId val="155110016"/>
        <c:scaling>
          <c:orientation val="minMax"/>
          <c:min val="0.65000000000000013"/>
        </c:scaling>
        <c:axPos val="l"/>
        <c:majorGridlines>
          <c:spPr>
            <a:ln w="3175">
              <a:solidFill>
                <a:srgbClr val="000000"/>
              </a:solidFill>
              <a:prstDash val="solid"/>
            </a:ln>
          </c:spPr>
        </c:majorGridlines>
        <c:title>
          <c:tx>
            <c:rich>
              <a:bodyPr/>
              <a:lstStyle/>
              <a:p>
                <a:pPr>
                  <a:defRPr sz="1000" b="1" i="0" u="none" strike="noStrike" baseline="0">
                    <a:solidFill>
                      <a:srgbClr val="000000"/>
                    </a:solidFill>
                    <a:latin typeface="Arial"/>
                    <a:ea typeface="Arial"/>
                    <a:cs typeface="Arial"/>
                  </a:defRPr>
                </a:pPr>
                <a:r>
                  <a:rPr lang="en-US"/>
                  <a:t>Z</a:t>
                </a:r>
              </a:p>
            </c:rich>
          </c:tx>
          <c:layout>
            <c:manualLayout>
              <c:xMode val="edge"/>
              <c:yMode val="edge"/>
              <c:x val="1.1098779134295227E-2"/>
              <c:y val="0.50081566068515493"/>
            </c:manualLayout>
          </c:layout>
          <c:spPr>
            <a:noFill/>
            <a:ln w="25400">
              <a:noFill/>
            </a:ln>
          </c:spPr>
        </c:title>
        <c:numFmt formatCode="General" sourceLinked="1"/>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55108096"/>
        <c:crosses val="autoZero"/>
        <c:crossBetween val="between"/>
        <c:majorUnit val="2.5000000000000001E-2"/>
      </c:valAx>
      <c:spPr>
        <a:solidFill>
          <a:srgbClr val="FFFFFF"/>
        </a:solidFill>
        <a:ln w="12700">
          <a:solidFill>
            <a:srgbClr val="808080"/>
          </a:solidFill>
          <a:prstDash val="solid"/>
        </a:ln>
      </c:spPr>
    </c:plotArea>
    <c:legend>
      <c:legendPos val="r"/>
      <c:layout>
        <c:manualLayout>
          <c:xMode val="edge"/>
          <c:yMode val="edge"/>
          <c:x val="0.85571587125416215"/>
          <c:y val="8.1566068515497581E-3"/>
          <c:w val="0.13873473917869042"/>
          <c:h val="0.99184339314845038"/>
        </c:manualLayout>
      </c:layout>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n-US"/>
        </a:p>
      </c:txPr>
    </c:legend>
    <c:plotVisOnly val="1"/>
    <c:dispBlanksAs val="gap"/>
  </c:chart>
  <c:spPr>
    <a:noFill/>
    <a:ln w="9525">
      <a:noFill/>
    </a:ln>
  </c:spPr>
  <c:txPr>
    <a:bodyPr/>
    <a:lstStyle/>
    <a:p>
      <a:pPr>
        <a:defRPr sz="1000" b="0" i="0" u="none" strike="noStrike" baseline="0">
          <a:solidFill>
            <a:srgbClr val="000000"/>
          </a:solidFill>
          <a:latin typeface="Arial"/>
          <a:ea typeface="Arial"/>
          <a:cs typeface="Arial"/>
        </a:defRPr>
      </a:pPr>
      <a:endParaRPr lang="en-US"/>
    </a:p>
  </c:txPr>
</c:chartSpace>
</file>

<file path=xl/charts/chart5.xml><?xml version="1.0" encoding="utf-8"?>
<c:chartSpace xmlns:c="http://schemas.openxmlformats.org/drawingml/2006/chart" xmlns:a="http://schemas.openxmlformats.org/drawingml/2006/main" xmlns:r="http://schemas.openxmlformats.org/officeDocument/2006/relationships">
  <c:lang val="en-US"/>
  <c:protection/>
  <c:chart>
    <c:title>
      <c:tx>
        <c:rich>
          <a:bodyPr/>
          <a:lstStyle/>
          <a:p>
            <a:pPr>
              <a:defRPr sz="1200" b="1" i="0" u="none" strike="noStrike" baseline="0">
                <a:solidFill>
                  <a:srgbClr val="000000"/>
                </a:solidFill>
                <a:latin typeface="Arial"/>
                <a:ea typeface="Arial"/>
                <a:cs typeface="Arial"/>
              </a:defRPr>
            </a:pPr>
            <a:r>
              <a:rPr lang="en-US"/>
              <a:t>Compressibility (Sp Gr = 0.65, MW = 18.85)</a:t>
            </a:r>
          </a:p>
        </c:rich>
      </c:tx>
      <c:layout>
        <c:manualLayout>
          <c:xMode val="edge"/>
          <c:yMode val="edge"/>
          <c:x val="0.32075471698113206"/>
          <c:y val="1.9575856443719414E-2"/>
        </c:manualLayout>
      </c:layout>
      <c:spPr>
        <a:noFill/>
        <a:ln w="25400">
          <a:noFill/>
        </a:ln>
      </c:spPr>
    </c:title>
    <c:plotArea>
      <c:layout>
        <c:manualLayout>
          <c:layoutTarget val="inner"/>
          <c:xMode val="edge"/>
          <c:yMode val="edge"/>
          <c:x val="7.1032186459489471E-2"/>
          <c:y val="0.12234910277324634"/>
          <c:w val="0.76026637069922309"/>
          <c:h val="0.771615008156607"/>
        </c:manualLayout>
      </c:layout>
      <c:lineChart>
        <c:grouping val="standard"/>
        <c:ser>
          <c:idx val="0"/>
          <c:order val="0"/>
          <c:tx>
            <c:v>T = 150 F</c:v>
          </c:tx>
          <c:spPr>
            <a:ln w="12700">
              <a:solidFill>
                <a:srgbClr val="000080"/>
              </a:solidFill>
              <a:prstDash val="solid"/>
            </a:ln>
          </c:spPr>
          <c:marker>
            <c:symbol val="diamond"/>
            <c:size val="5"/>
            <c:spPr>
              <a:solidFill>
                <a:srgbClr val="000080"/>
              </a:solidFill>
              <a:ln>
                <a:solidFill>
                  <a:srgbClr val="000080"/>
                </a:solidFill>
                <a:prstDash val="solid"/>
              </a:ln>
            </c:spPr>
          </c:marker>
          <c:trendline>
            <c:spPr>
              <a:ln w="25400">
                <a:solidFill>
                  <a:srgbClr val="000000"/>
                </a:solidFill>
                <a:prstDash val="solid"/>
              </a:ln>
            </c:spPr>
            <c:trendlineType val="poly"/>
            <c:order val="3"/>
          </c:trendline>
          <c:cat>
            <c:numRef>
              <c:f>'DATA - MW = 18.85 (Sp Gr= 0.65)'!$A$8:$A$33</c:f>
              <c:numCache>
                <c:formatCode>General</c:formatCode>
                <c:ptCount val="26"/>
                <c:pt idx="0">
                  <c:v>0</c:v>
                </c:pt>
                <c:pt idx="1">
                  <c:v>50</c:v>
                </c:pt>
                <c:pt idx="2">
                  <c:v>100</c:v>
                </c:pt>
                <c:pt idx="3">
                  <c:v>150</c:v>
                </c:pt>
                <c:pt idx="4">
                  <c:v>200</c:v>
                </c:pt>
                <c:pt idx="5">
                  <c:v>250</c:v>
                </c:pt>
                <c:pt idx="6">
                  <c:v>300</c:v>
                </c:pt>
                <c:pt idx="7">
                  <c:v>350</c:v>
                </c:pt>
                <c:pt idx="8">
                  <c:v>400</c:v>
                </c:pt>
                <c:pt idx="9">
                  <c:v>450</c:v>
                </c:pt>
                <c:pt idx="10">
                  <c:v>500</c:v>
                </c:pt>
                <c:pt idx="11">
                  <c:v>550</c:v>
                </c:pt>
                <c:pt idx="12">
                  <c:v>600</c:v>
                </c:pt>
                <c:pt idx="13">
                  <c:v>650</c:v>
                </c:pt>
                <c:pt idx="14">
                  <c:v>700</c:v>
                </c:pt>
                <c:pt idx="15">
                  <c:v>750</c:v>
                </c:pt>
                <c:pt idx="16">
                  <c:v>800</c:v>
                </c:pt>
                <c:pt idx="17">
                  <c:v>850</c:v>
                </c:pt>
                <c:pt idx="18">
                  <c:v>900</c:v>
                </c:pt>
                <c:pt idx="19">
                  <c:v>950</c:v>
                </c:pt>
                <c:pt idx="20">
                  <c:v>1000</c:v>
                </c:pt>
                <c:pt idx="21">
                  <c:v>1050</c:v>
                </c:pt>
                <c:pt idx="22">
                  <c:v>1100</c:v>
                </c:pt>
                <c:pt idx="23">
                  <c:v>1150</c:v>
                </c:pt>
                <c:pt idx="24">
                  <c:v>1200</c:v>
                </c:pt>
                <c:pt idx="25">
                  <c:v>1250</c:v>
                </c:pt>
              </c:numCache>
            </c:numRef>
          </c:cat>
          <c:val>
            <c:numRef>
              <c:f>'DATA - MW = 18.85 (Sp Gr= 0.65)'!$B$8:$B$33</c:f>
              <c:numCache>
                <c:formatCode>General</c:formatCode>
                <c:ptCount val="26"/>
                <c:pt idx="0">
                  <c:v>1</c:v>
                </c:pt>
                <c:pt idx="1">
                  <c:v>0.99099999999999999</c:v>
                </c:pt>
                <c:pt idx="2">
                  <c:v>0.98599999999999999</c:v>
                </c:pt>
                <c:pt idx="3">
                  <c:v>0.98</c:v>
                </c:pt>
                <c:pt idx="4">
                  <c:v>0.97399999999999998</c:v>
                </c:pt>
                <c:pt idx="5">
                  <c:v>0.96899999999999997</c:v>
                </c:pt>
                <c:pt idx="6">
                  <c:v>0.96099999999999997</c:v>
                </c:pt>
                <c:pt idx="7">
                  <c:v>0.95599999999999996</c:v>
                </c:pt>
                <c:pt idx="8">
                  <c:v>0.95</c:v>
                </c:pt>
                <c:pt idx="9">
                  <c:v>0.94499999999999995</c:v>
                </c:pt>
                <c:pt idx="10">
                  <c:v>0.93899999999999995</c:v>
                </c:pt>
                <c:pt idx="11">
                  <c:v>0.93500000000000005</c:v>
                </c:pt>
                <c:pt idx="12">
                  <c:v>0.93200000000000005</c:v>
                </c:pt>
                <c:pt idx="13">
                  <c:v>0.92700000000000005</c:v>
                </c:pt>
                <c:pt idx="14">
                  <c:v>0.92100000000000004</c:v>
                </c:pt>
                <c:pt idx="15">
                  <c:v>0.91600000000000004</c:v>
                </c:pt>
                <c:pt idx="16">
                  <c:v>0.90900000000000003</c:v>
                </c:pt>
                <c:pt idx="17">
                  <c:v>0.90500000000000003</c:v>
                </c:pt>
                <c:pt idx="18">
                  <c:v>0.90100000000000002</c:v>
                </c:pt>
                <c:pt idx="19">
                  <c:v>0.89600000000000002</c:v>
                </c:pt>
                <c:pt idx="20">
                  <c:v>0.89</c:v>
                </c:pt>
                <c:pt idx="21">
                  <c:v>0.88500000000000001</c:v>
                </c:pt>
                <c:pt idx="22">
                  <c:v>0.88</c:v>
                </c:pt>
                <c:pt idx="23">
                  <c:v>0.875</c:v>
                </c:pt>
                <c:pt idx="24">
                  <c:v>0.87</c:v>
                </c:pt>
                <c:pt idx="25">
                  <c:v>0.86699999999999999</c:v>
                </c:pt>
              </c:numCache>
            </c:numRef>
          </c:val>
        </c:ser>
        <c:ser>
          <c:idx val="1"/>
          <c:order val="1"/>
          <c:tx>
            <c:v>T = 100 F</c:v>
          </c:tx>
          <c:spPr>
            <a:ln w="12700">
              <a:solidFill>
                <a:srgbClr val="FF00FF"/>
              </a:solidFill>
              <a:prstDash val="solid"/>
            </a:ln>
          </c:spPr>
          <c:marker>
            <c:symbol val="square"/>
            <c:size val="5"/>
            <c:spPr>
              <a:solidFill>
                <a:srgbClr val="FF00FF"/>
              </a:solidFill>
              <a:ln>
                <a:solidFill>
                  <a:srgbClr val="FF00FF"/>
                </a:solidFill>
                <a:prstDash val="solid"/>
              </a:ln>
            </c:spPr>
          </c:marker>
          <c:trendline>
            <c:spPr>
              <a:ln w="25400">
                <a:solidFill>
                  <a:srgbClr val="000000"/>
                </a:solidFill>
                <a:prstDash val="solid"/>
              </a:ln>
            </c:spPr>
            <c:trendlineType val="poly"/>
            <c:order val="3"/>
          </c:trendline>
          <c:cat>
            <c:numRef>
              <c:f>'DATA - MW = 18.85 (Sp Gr= 0.65)'!$A$8:$A$33</c:f>
              <c:numCache>
                <c:formatCode>General</c:formatCode>
                <c:ptCount val="26"/>
                <c:pt idx="0">
                  <c:v>0</c:v>
                </c:pt>
                <c:pt idx="1">
                  <c:v>50</c:v>
                </c:pt>
                <c:pt idx="2">
                  <c:v>100</c:v>
                </c:pt>
                <c:pt idx="3">
                  <c:v>150</c:v>
                </c:pt>
                <c:pt idx="4">
                  <c:v>200</c:v>
                </c:pt>
                <c:pt idx="5">
                  <c:v>250</c:v>
                </c:pt>
                <c:pt idx="6">
                  <c:v>300</c:v>
                </c:pt>
                <c:pt idx="7">
                  <c:v>350</c:v>
                </c:pt>
                <c:pt idx="8">
                  <c:v>400</c:v>
                </c:pt>
                <c:pt idx="9">
                  <c:v>450</c:v>
                </c:pt>
                <c:pt idx="10">
                  <c:v>500</c:v>
                </c:pt>
                <c:pt idx="11">
                  <c:v>550</c:v>
                </c:pt>
                <c:pt idx="12">
                  <c:v>600</c:v>
                </c:pt>
                <c:pt idx="13">
                  <c:v>650</c:v>
                </c:pt>
                <c:pt idx="14">
                  <c:v>700</c:v>
                </c:pt>
                <c:pt idx="15">
                  <c:v>750</c:v>
                </c:pt>
                <c:pt idx="16">
                  <c:v>800</c:v>
                </c:pt>
                <c:pt idx="17">
                  <c:v>850</c:v>
                </c:pt>
                <c:pt idx="18">
                  <c:v>900</c:v>
                </c:pt>
                <c:pt idx="19">
                  <c:v>950</c:v>
                </c:pt>
                <c:pt idx="20">
                  <c:v>1000</c:v>
                </c:pt>
                <c:pt idx="21">
                  <c:v>1050</c:v>
                </c:pt>
                <c:pt idx="22">
                  <c:v>1100</c:v>
                </c:pt>
                <c:pt idx="23">
                  <c:v>1150</c:v>
                </c:pt>
                <c:pt idx="24">
                  <c:v>1200</c:v>
                </c:pt>
                <c:pt idx="25">
                  <c:v>1250</c:v>
                </c:pt>
              </c:numCache>
            </c:numRef>
          </c:cat>
          <c:val>
            <c:numRef>
              <c:f>'DATA - MW = 18.85 (Sp Gr= 0.65)'!$L$8:$L$33</c:f>
              <c:numCache>
                <c:formatCode>General</c:formatCode>
                <c:ptCount val="26"/>
                <c:pt idx="0">
                  <c:v>1</c:v>
                </c:pt>
                <c:pt idx="1">
                  <c:v>0.98699999999999999</c:v>
                </c:pt>
                <c:pt idx="2">
                  <c:v>0.97599999999999998</c:v>
                </c:pt>
                <c:pt idx="3">
                  <c:v>0.97</c:v>
                </c:pt>
                <c:pt idx="4">
                  <c:v>0.96099999999999997</c:v>
                </c:pt>
                <c:pt idx="5">
                  <c:v>0.95399999999999996</c:v>
                </c:pt>
                <c:pt idx="6">
                  <c:v>0.94599999999999995</c:v>
                </c:pt>
                <c:pt idx="7">
                  <c:v>0.93799999999999994</c:v>
                </c:pt>
                <c:pt idx="8">
                  <c:v>0.93100000000000005</c:v>
                </c:pt>
                <c:pt idx="9">
                  <c:v>0.92700000000000005</c:v>
                </c:pt>
                <c:pt idx="10">
                  <c:v>0.91900000000000004</c:v>
                </c:pt>
                <c:pt idx="11">
                  <c:v>0.91</c:v>
                </c:pt>
                <c:pt idx="12">
                  <c:v>0.90300000000000002</c:v>
                </c:pt>
                <c:pt idx="13">
                  <c:v>0.89600000000000002</c:v>
                </c:pt>
                <c:pt idx="14">
                  <c:v>0.88700000000000001</c:v>
                </c:pt>
                <c:pt idx="15">
                  <c:v>0.88</c:v>
                </c:pt>
                <c:pt idx="16">
                  <c:v>0.872</c:v>
                </c:pt>
                <c:pt idx="17">
                  <c:v>0.86399999999999999</c:v>
                </c:pt>
                <c:pt idx="18">
                  <c:v>0.85899999999999999</c:v>
                </c:pt>
                <c:pt idx="19">
                  <c:v>0.85299999999999998</c:v>
                </c:pt>
                <c:pt idx="20">
                  <c:v>0.84499999999999997</c:v>
                </c:pt>
                <c:pt idx="21">
                  <c:v>0.83599999999999997</c:v>
                </c:pt>
                <c:pt idx="22">
                  <c:v>0.82799999999999996</c:v>
                </c:pt>
                <c:pt idx="23">
                  <c:v>0.82199999999999995</c:v>
                </c:pt>
                <c:pt idx="24">
                  <c:v>0.81799999999999995</c:v>
                </c:pt>
                <c:pt idx="25">
                  <c:v>0.81200000000000006</c:v>
                </c:pt>
              </c:numCache>
            </c:numRef>
          </c:val>
        </c:ser>
        <c:ser>
          <c:idx val="2"/>
          <c:order val="2"/>
          <c:tx>
            <c:v>T = 75 F</c:v>
          </c:tx>
          <c:spPr>
            <a:ln w="12700">
              <a:solidFill>
                <a:srgbClr val="FFFF00"/>
              </a:solidFill>
              <a:prstDash val="solid"/>
            </a:ln>
          </c:spPr>
          <c:marker>
            <c:symbol val="triangle"/>
            <c:size val="5"/>
            <c:spPr>
              <a:solidFill>
                <a:srgbClr val="FFFF00"/>
              </a:solidFill>
              <a:ln>
                <a:solidFill>
                  <a:srgbClr val="FFFF00"/>
                </a:solidFill>
                <a:prstDash val="solid"/>
              </a:ln>
            </c:spPr>
          </c:marker>
          <c:trendline>
            <c:spPr>
              <a:ln w="25400">
                <a:solidFill>
                  <a:srgbClr val="000000"/>
                </a:solidFill>
                <a:prstDash val="solid"/>
              </a:ln>
            </c:spPr>
            <c:trendlineType val="poly"/>
            <c:order val="3"/>
          </c:trendline>
          <c:cat>
            <c:numRef>
              <c:f>'DATA - MW = 18.85 (Sp Gr= 0.65)'!$A$8:$A$33</c:f>
              <c:numCache>
                <c:formatCode>General</c:formatCode>
                <c:ptCount val="26"/>
                <c:pt idx="0">
                  <c:v>0</c:v>
                </c:pt>
                <c:pt idx="1">
                  <c:v>50</c:v>
                </c:pt>
                <c:pt idx="2">
                  <c:v>100</c:v>
                </c:pt>
                <c:pt idx="3">
                  <c:v>150</c:v>
                </c:pt>
                <c:pt idx="4">
                  <c:v>200</c:v>
                </c:pt>
                <c:pt idx="5">
                  <c:v>250</c:v>
                </c:pt>
                <c:pt idx="6">
                  <c:v>300</c:v>
                </c:pt>
                <c:pt idx="7">
                  <c:v>350</c:v>
                </c:pt>
                <c:pt idx="8">
                  <c:v>400</c:v>
                </c:pt>
                <c:pt idx="9">
                  <c:v>450</c:v>
                </c:pt>
                <c:pt idx="10">
                  <c:v>500</c:v>
                </c:pt>
                <c:pt idx="11">
                  <c:v>550</c:v>
                </c:pt>
                <c:pt idx="12">
                  <c:v>600</c:v>
                </c:pt>
                <c:pt idx="13">
                  <c:v>650</c:v>
                </c:pt>
                <c:pt idx="14">
                  <c:v>700</c:v>
                </c:pt>
                <c:pt idx="15">
                  <c:v>750</c:v>
                </c:pt>
                <c:pt idx="16">
                  <c:v>800</c:v>
                </c:pt>
                <c:pt idx="17">
                  <c:v>850</c:v>
                </c:pt>
                <c:pt idx="18">
                  <c:v>900</c:v>
                </c:pt>
                <c:pt idx="19">
                  <c:v>950</c:v>
                </c:pt>
                <c:pt idx="20">
                  <c:v>1000</c:v>
                </c:pt>
                <c:pt idx="21">
                  <c:v>1050</c:v>
                </c:pt>
                <c:pt idx="22">
                  <c:v>1100</c:v>
                </c:pt>
                <c:pt idx="23">
                  <c:v>1150</c:v>
                </c:pt>
                <c:pt idx="24">
                  <c:v>1200</c:v>
                </c:pt>
                <c:pt idx="25">
                  <c:v>1250</c:v>
                </c:pt>
              </c:numCache>
            </c:numRef>
          </c:cat>
          <c:val>
            <c:numRef>
              <c:f>'DATA - MW = 18.85 (Sp Gr= 0.65)'!$Q$8:$Q$33</c:f>
              <c:numCache>
                <c:formatCode>General</c:formatCode>
                <c:ptCount val="26"/>
                <c:pt idx="0">
                  <c:v>1</c:v>
                </c:pt>
                <c:pt idx="1">
                  <c:v>0.98499999999999999</c:v>
                </c:pt>
                <c:pt idx="2">
                  <c:v>0.97499999999999998</c:v>
                </c:pt>
                <c:pt idx="3">
                  <c:v>0.96899999999999997</c:v>
                </c:pt>
                <c:pt idx="4">
                  <c:v>0.95899999999999996</c:v>
                </c:pt>
                <c:pt idx="5">
                  <c:v>0.95</c:v>
                </c:pt>
                <c:pt idx="6">
                  <c:v>0.94</c:v>
                </c:pt>
                <c:pt idx="7">
                  <c:v>0.93</c:v>
                </c:pt>
                <c:pt idx="8">
                  <c:v>0.92400000000000004</c:v>
                </c:pt>
                <c:pt idx="9">
                  <c:v>0.91300000000000003</c:v>
                </c:pt>
                <c:pt idx="10">
                  <c:v>0.90700000000000003</c:v>
                </c:pt>
                <c:pt idx="11">
                  <c:v>0.89600000000000002</c:v>
                </c:pt>
                <c:pt idx="12">
                  <c:v>0.88600000000000001</c:v>
                </c:pt>
                <c:pt idx="13">
                  <c:v>0.879</c:v>
                </c:pt>
                <c:pt idx="14">
                  <c:v>0.86799999999999999</c:v>
                </c:pt>
                <c:pt idx="15">
                  <c:v>0.86</c:v>
                </c:pt>
                <c:pt idx="16">
                  <c:v>0.85</c:v>
                </c:pt>
                <c:pt idx="17">
                  <c:v>0.83899999999999997</c:v>
                </c:pt>
                <c:pt idx="18">
                  <c:v>0.83</c:v>
                </c:pt>
                <c:pt idx="19">
                  <c:v>0.82</c:v>
                </c:pt>
                <c:pt idx="20">
                  <c:v>0.81399999999999995</c:v>
                </c:pt>
                <c:pt idx="21">
                  <c:v>0.80500000000000005</c:v>
                </c:pt>
                <c:pt idx="22">
                  <c:v>0.79600000000000004</c:v>
                </c:pt>
                <c:pt idx="23">
                  <c:v>0.78800000000000003</c:v>
                </c:pt>
                <c:pt idx="24">
                  <c:v>0.78</c:v>
                </c:pt>
                <c:pt idx="25">
                  <c:v>0.77</c:v>
                </c:pt>
              </c:numCache>
            </c:numRef>
          </c:val>
        </c:ser>
        <c:ser>
          <c:idx val="3"/>
          <c:order val="3"/>
          <c:tx>
            <c:v>T = 50 F</c:v>
          </c:tx>
          <c:spPr>
            <a:ln w="12700">
              <a:solidFill>
                <a:srgbClr val="00FFFF"/>
              </a:solidFill>
              <a:prstDash val="solid"/>
            </a:ln>
          </c:spPr>
          <c:marker>
            <c:symbol val="x"/>
            <c:size val="5"/>
            <c:spPr>
              <a:noFill/>
              <a:ln>
                <a:solidFill>
                  <a:srgbClr val="00FFFF"/>
                </a:solidFill>
                <a:prstDash val="solid"/>
              </a:ln>
            </c:spPr>
          </c:marker>
          <c:trendline>
            <c:spPr>
              <a:ln w="25400">
                <a:solidFill>
                  <a:srgbClr val="000000"/>
                </a:solidFill>
                <a:prstDash val="solid"/>
              </a:ln>
            </c:spPr>
            <c:trendlineType val="poly"/>
            <c:order val="3"/>
          </c:trendline>
          <c:cat>
            <c:numRef>
              <c:f>'DATA - MW = 18.85 (Sp Gr= 0.65)'!$A$8:$A$33</c:f>
              <c:numCache>
                <c:formatCode>General</c:formatCode>
                <c:ptCount val="26"/>
                <c:pt idx="0">
                  <c:v>0</c:v>
                </c:pt>
                <c:pt idx="1">
                  <c:v>50</c:v>
                </c:pt>
                <c:pt idx="2">
                  <c:v>100</c:v>
                </c:pt>
                <c:pt idx="3">
                  <c:v>150</c:v>
                </c:pt>
                <c:pt idx="4">
                  <c:v>200</c:v>
                </c:pt>
                <c:pt idx="5">
                  <c:v>250</c:v>
                </c:pt>
                <c:pt idx="6">
                  <c:v>300</c:v>
                </c:pt>
                <c:pt idx="7">
                  <c:v>350</c:v>
                </c:pt>
                <c:pt idx="8">
                  <c:v>400</c:v>
                </c:pt>
                <c:pt idx="9">
                  <c:v>450</c:v>
                </c:pt>
                <c:pt idx="10">
                  <c:v>500</c:v>
                </c:pt>
                <c:pt idx="11">
                  <c:v>550</c:v>
                </c:pt>
                <c:pt idx="12">
                  <c:v>600</c:v>
                </c:pt>
                <c:pt idx="13">
                  <c:v>650</c:v>
                </c:pt>
                <c:pt idx="14">
                  <c:v>700</c:v>
                </c:pt>
                <c:pt idx="15">
                  <c:v>750</c:v>
                </c:pt>
                <c:pt idx="16">
                  <c:v>800</c:v>
                </c:pt>
                <c:pt idx="17">
                  <c:v>850</c:v>
                </c:pt>
                <c:pt idx="18">
                  <c:v>900</c:v>
                </c:pt>
                <c:pt idx="19">
                  <c:v>950</c:v>
                </c:pt>
                <c:pt idx="20">
                  <c:v>1000</c:v>
                </c:pt>
                <c:pt idx="21">
                  <c:v>1050</c:v>
                </c:pt>
                <c:pt idx="22">
                  <c:v>1100</c:v>
                </c:pt>
                <c:pt idx="23">
                  <c:v>1150</c:v>
                </c:pt>
                <c:pt idx="24">
                  <c:v>1200</c:v>
                </c:pt>
                <c:pt idx="25">
                  <c:v>1250</c:v>
                </c:pt>
              </c:numCache>
            </c:numRef>
          </c:cat>
          <c:val>
            <c:numRef>
              <c:f>'DATA - MW = 18.85 (Sp Gr= 0.65)'!$V$8:$V$33</c:f>
              <c:numCache>
                <c:formatCode>General</c:formatCode>
                <c:ptCount val="26"/>
                <c:pt idx="0">
                  <c:v>1</c:v>
                </c:pt>
                <c:pt idx="1">
                  <c:v>0.98199999999999998</c:v>
                </c:pt>
                <c:pt idx="2">
                  <c:v>0.97499999999999998</c:v>
                </c:pt>
                <c:pt idx="3">
                  <c:v>0.96599999999999997</c:v>
                </c:pt>
                <c:pt idx="4">
                  <c:v>0.95599999999999996</c:v>
                </c:pt>
                <c:pt idx="5">
                  <c:v>0.94499999999999995</c:v>
                </c:pt>
                <c:pt idx="6">
                  <c:v>0.93500000000000005</c:v>
                </c:pt>
                <c:pt idx="7">
                  <c:v>0.92500000000000004</c:v>
                </c:pt>
                <c:pt idx="8">
                  <c:v>0.91400000000000003</c:v>
                </c:pt>
                <c:pt idx="9">
                  <c:v>0.90500000000000003</c:v>
                </c:pt>
                <c:pt idx="10">
                  <c:v>0.89600000000000002</c:v>
                </c:pt>
                <c:pt idx="11">
                  <c:v>0.88400000000000001</c:v>
                </c:pt>
                <c:pt idx="12">
                  <c:v>0.871</c:v>
                </c:pt>
                <c:pt idx="13">
                  <c:v>0.86299999999999999</c:v>
                </c:pt>
                <c:pt idx="14">
                  <c:v>0.85199999999999998</c:v>
                </c:pt>
                <c:pt idx="15">
                  <c:v>0.84099999999999997</c:v>
                </c:pt>
                <c:pt idx="16">
                  <c:v>0.83</c:v>
                </c:pt>
                <c:pt idx="17">
                  <c:v>0.81699999999999995</c:v>
                </c:pt>
                <c:pt idx="18">
                  <c:v>0.80600000000000005</c:v>
                </c:pt>
                <c:pt idx="19">
                  <c:v>0.8</c:v>
                </c:pt>
                <c:pt idx="20">
                  <c:v>0.78500000000000003</c:v>
                </c:pt>
                <c:pt idx="21">
                  <c:v>0.77200000000000002</c:v>
                </c:pt>
                <c:pt idx="22">
                  <c:v>0.76100000000000001</c:v>
                </c:pt>
                <c:pt idx="23">
                  <c:v>0.753</c:v>
                </c:pt>
                <c:pt idx="24">
                  <c:v>0.745</c:v>
                </c:pt>
                <c:pt idx="25">
                  <c:v>0.73599999999999999</c:v>
                </c:pt>
              </c:numCache>
            </c:numRef>
          </c:val>
        </c:ser>
        <c:ser>
          <c:idx val="4"/>
          <c:order val="4"/>
          <c:tx>
            <c:v>T = 25 F</c:v>
          </c:tx>
          <c:spPr>
            <a:ln w="12700">
              <a:solidFill>
                <a:srgbClr val="800080"/>
              </a:solidFill>
              <a:prstDash val="solid"/>
            </a:ln>
          </c:spPr>
          <c:marker>
            <c:symbol val="star"/>
            <c:size val="5"/>
            <c:spPr>
              <a:noFill/>
              <a:ln>
                <a:solidFill>
                  <a:srgbClr val="800080"/>
                </a:solidFill>
                <a:prstDash val="solid"/>
              </a:ln>
            </c:spPr>
          </c:marker>
          <c:trendline>
            <c:spPr>
              <a:ln w="25400">
                <a:solidFill>
                  <a:srgbClr val="000000"/>
                </a:solidFill>
                <a:prstDash val="solid"/>
              </a:ln>
            </c:spPr>
            <c:trendlineType val="poly"/>
            <c:order val="3"/>
          </c:trendline>
          <c:cat>
            <c:numRef>
              <c:f>'DATA - MW = 18.85 (Sp Gr= 0.65)'!$A$8:$A$33</c:f>
              <c:numCache>
                <c:formatCode>General</c:formatCode>
                <c:ptCount val="26"/>
                <c:pt idx="0">
                  <c:v>0</c:v>
                </c:pt>
                <c:pt idx="1">
                  <c:v>50</c:v>
                </c:pt>
                <c:pt idx="2">
                  <c:v>100</c:v>
                </c:pt>
                <c:pt idx="3">
                  <c:v>150</c:v>
                </c:pt>
                <c:pt idx="4">
                  <c:v>200</c:v>
                </c:pt>
                <c:pt idx="5">
                  <c:v>250</c:v>
                </c:pt>
                <c:pt idx="6">
                  <c:v>300</c:v>
                </c:pt>
                <c:pt idx="7">
                  <c:v>350</c:v>
                </c:pt>
                <c:pt idx="8">
                  <c:v>400</c:v>
                </c:pt>
                <c:pt idx="9">
                  <c:v>450</c:v>
                </c:pt>
                <c:pt idx="10">
                  <c:v>500</c:v>
                </c:pt>
                <c:pt idx="11">
                  <c:v>550</c:v>
                </c:pt>
                <c:pt idx="12">
                  <c:v>600</c:v>
                </c:pt>
                <c:pt idx="13">
                  <c:v>650</c:v>
                </c:pt>
                <c:pt idx="14">
                  <c:v>700</c:v>
                </c:pt>
                <c:pt idx="15">
                  <c:v>750</c:v>
                </c:pt>
                <c:pt idx="16">
                  <c:v>800</c:v>
                </c:pt>
                <c:pt idx="17">
                  <c:v>850</c:v>
                </c:pt>
                <c:pt idx="18">
                  <c:v>900</c:v>
                </c:pt>
                <c:pt idx="19">
                  <c:v>950</c:v>
                </c:pt>
                <c:pt idx="20">
                  <c:v>1000</c:v>
                </c:pt>
                <c:pt idx="21">
                  <c:v>1050</c:v>
                </c:pt>
                <c:pt idx="22">
                  <c:v>1100</c:v>
                </c:pt>
                <c:pt idx="23">
                  <c:v>1150</c:v>
                </c:pt>
                <c:pt idx="24">
                  <c:v>1200</c:v>
                </c:pt>
                <c:pt idx="25">
                  <c:v>1250</c:v>
                </c:pt>
              </c:numCache>
            </c:numRef>
          </c:cat>
          <c:val>
            <c:numRef>
              <c:f>'DATA - MW = 18.85 (Sp Gr= 0.65)'!$AA$8:$AA$33</c:f>
              <c:numCache>
                <c:formatCode>General</c:formatCode>
                <c:ptCount val="26"/>
                <c:pt idx="0">
                  <c:v>1</c:v>
                </c:pt>
                <c:pt idx="1">
                  <c:v>0.98</c:v>
                </c:pt>
                <c:pt idx="2">
                  <c:v>0.96499999999999997</c:v>
                </c:pt>
                <c:pt idx="3">
                  <c:v>0.95199999999999996</c:v>
                </c:pt>
                <c:pt idx="4">
                  <c:v>0.93899999999999995</c:v>
                </c:pt>
                <c:pt idx="5">
                  <c:v>0.93</c:v>
                </c:pt>
                <c:pt idx="6">
                  <c:v>0.91500000000000004</c:v>
                </c:pt>
                <c:pt idx="7">
                  <c:v>0.90300000000000002</c:v>
                </c:pt>
                <c:pt idx="8">
                  <c:v>0.88900000000000001</c:v>
                </c:pt>
                <c:pt idx="9">
                  <c:v>0.876</c:v>
                </c:pt>
                <c:pt idx="10">
                  <c:v>0.86499999999999999</c:v>
                </c:pt>
                <c:pt idx="11">
                  <c:v>0.85299999999999998</c:v>
                </c:pt>
                <c:pt idx="12">
                  <c:v>0.83599999999999997</c:v>
                </c:pt>
                <c:pt idx="13">
                  <c:v>0.82199999999999995</c:v>
                </c:pt>
                <c:pt idx="14">
                  <c:v>0.81200000000000006</c:v>
                </c:pt>
                <c:pt idx="15">
                  <c:v>0.80200000000000005</c:v>
                </c:pt>
                <c:pt idx="16">
                  <c:v>0.78900000000000003</c:v>
                </c:pt>
                <c:pt idx="17">
                  <c:v>0.77200000000000002</c:v>
                </c:pt>
                <c:pt idx="18">
                  <c:v>0.75900000000000001</c:v>
                </c:pt>
                <c:pt idx="19">
                  <c:v>0.75</c:v>
                </c:pt>
                <c:pt idx="20">
                  <c:v>0.73499999999999999</c:v>
                </c:pt>
                <c:pt idx="21">
                  <c:v>0.72</c:v>
                </c:pt>
                <c:pt idx="22">
                  <c:v>0.70899999999999996</c:v>
                </c:pt>
                <c:pt idx="23">
                  <c:v>0.7</c:v>
                </c:pt>
                <c:pt idx="24">
                  <c:v>0.68899999999999995</c:v>
                </c:pt>
                <c:pt idx="25">
                  <c:v>0.67600000000000005</c:v>
                </c:pt>
              </c:numCache>
            </c:numRef>
          </c:val>
        </c:ser>
        <c:ser>
          <c:idx val="5"/>
          <c:order val="5"/>
          <c:tx>
            <c:v>T = 0 F</c:v>
          </c:tx>
          <c:spPr>
            <a:ln w="12700">
              <a:solidFill>
                <a:srgbClr val="800000"/>
              </a:solidFill>
              <a:prstDash val="solid"/>
            </a:ln>
          </c:spPr>
          <c:marker>
            <c:symbol val="circle"/>
            <c:size val="5"/>
            <c:spPr>
              <a:solidFill>
                <a:srgbClr val="800000"/>
              </a:solidFill>
              <a:ln>
                <a:solidFill>
                  <a:srgbClr val="800000"/>
                </a:solidFill>
                <a:prstDash val="solid"/>
              </a:ln>
            </c:spPr>
          </c:marker>
          <c:trendline>
            <c:spPr>
              <a:ln w="25400">
                <a:solidFill>
                  <a:srgbClr val="000000"/>
                </a:solidFill>
                <a:prstDash val="solid"/>
              </a:ln>
            </c:spPr>
            <c:trendlineType val="poly"/>
            <c:order val="3"/>
          </c:trendline>
          <c:cat>
            <c:numRef>
              <c:f>'DATA - MW = 18.85 (Sp Gr= 0.65)'!$A$8:$A$33</c:f>
              <c:numCache>
                <c:formatCode>General</c:formatCode>
                <c:ptCount val="26"/>
                <c:pt idx="0">
                  <c:v>0</c:v>
                </c:pt>
                <c:pt idx="1">
                  <c:v>50</c:v>
                </c:pt>
                <c:pt idx="2">
                  <c:v>100</c:v>
                </c:pt>
                <c:pt idx="3">
                  <c:v>150</c:v>
                </c:pt>
                <c:pt idx="4">
                  <c:v>200</c:v>
                </c:pt>
                <c:pt idx="5">
                  <c:v>250</c:v>
                </c:pt>
                <c:pt idx="6">
                  <c:v>300</c:v>
                </c:pt>
                <c:pt idx="7">
                  <c:v>350</c:v>
                </c:pt>
                <c:pt idx="8">
                  <c:v>400</c:v>
                </c:pt>
                <c:pt idx="9">
                  <c:v>450</c:v>
                </c:pt>
                <c:pt idx="10">
                  <c:v>500</c:v>
                </c:pt>
                <c:pt idx="11">
                  <c:v>550</c:v>
                </c:pt>
                <c:pt idx="12">
                  <c:v>600</c:v>
                </c:pt>
                <c:pt idx="13">
                  <c:v>650</c:v>
                </c:pt>
                <c:pt idx="14">
                  <c:v>700</c:v>
                </c:pt>
                <c:pt idx="15">
                  <c:v>750</c:v>
                </c:pt>
                <c:pt idx="16">
                  <c:v>800</c:v>
                </c:pt>
                <c:pt idx="17">
                  <c:v>850</c:v>
                </c:pt>
                <c:pt idx="18">
                  <c:v>900</c:v>
                </c:pt>
                <c:pt idx="19">
                  <c:v>950</c:v>
                </c:pt>
                <c:pt idx="20">
                  <c:v>1000</c:v>
                </c:pt>
                <c:pt idx="21">
                  <c:v>1050</c:v>
                </c:pt>
                <c:pt idx="22">
                  <c:v>1100</c:v>
                </c:pt>
                <c:pt idx="23">
                  <c:v>1150</c:v>
                </c:pt>
                <c:pt idx="24">
                  <c:v>1200</c:v>
                </c:pt>
                <c:pt idx="25">
                  <c:v>1250</c:v>
                </c:pt>
              </c:numCache>
            </c:numRef>
          </c:cat>
          <c:val>
            <c:numRef>
              <c:f>'DATA - MW = 18.85 (Sp Gr= 0.65)'!$AF$8:$AF$33</c:f>
              <c:numCache>
                <c:formatCode>General</c:formatCode>
                <c:ptCount val="26"/>
                <c:pt idx="0">
                  <c:v>1</c:v>
                </c:pt>
                <c:pt idx="1">
                  <c:v>0.96666666666666667</c:v>
                </c:pt>
                <c:pt idx="2">
                  <c:v>0.94833333333333325</c:v>
                </c:pt>
                <c:pt idx="3">
                  <c:v>0.93199999999999994</c:v>
                </c:pt>
                <c:pt idx="4">
                  <c:v>0.91566666666666674</c:v>
                </c:pt>
                <c:pt idx="5">
                  <c:v>0.89666666666666672</c:v>
                </c:pt>
                <c:pt idx="6">
                  <c:v>0.88166666666666671</c:v>
                </c:pt>
                <c:pt idx="7">
                  <c:v>0.86466666666666669</c:v>
                </c:pt>
                <c:pt idx="8">
                  <c:v>0.84399999999999997</c:v>
                </c:pt>
                <c:pt idx="9">
                  <c:v>0.83266666666666667</c:v>
                </c:pt>
                <c:pt idx="10">
                  <c:v>0.81499999999999995</c:v>
                </c:pt>
                <c:pt idx="11">
                  <c:v>0.79133333333333322</c:v>
                </c:pt>
                <c:pt idx="12">
                  <c:v>0.78100000000000014</c:v>
                </c:pt>
                <c:pt idx="13">
                  <c:v>0.76033333333333342</c:v>
                </c:pt>
                <c:pt idx="14">
                  <c:v>0.74199999999999999</c:v>
                </c:pt>
                <c:pt idx="15">
                  <c:v>0.72199999999999998</c:v>
                </c:pt>
                <c:pt idx="16">
                  <c:v>0.70733333333333326</c:v>
                </c:pt>
                <c:pt idx="17">
                  <c:v>0.68366666666666664</c:v>
                </c:pt>
                <c:pt idx="18">
                  <c:v>0.66566666666666663</c:v>
                </c:pt>
                <c:pt idx="19">
                  <c:v>0.64999999999999991</c:v>
                </c:pt>
                <c:pt idx="20">
                  <c:v>0.63500000000000012</c:v>
                </c:pt>
                <c:pt idx="21">
                  <c:v>0.60666666666666669</c:v>
                </c:pt>
                <c:pt idx="22">
                  <c:v>0.57900000000000007</c:v>
                </c:pt>
                <c:pt idx="23">
                  <c:v>0.56000000000000005</c:v>
                </c:pt>
                <c:pt idx="24">
                  <c:v>0.54900000000000004</c:v>
                </c:pt>
                <c:pt idx="25">
                  <c:v>0.53266666666666662</c:v>
                </c:pt>
              </c:numCache>
            </c:numRef>
          </c:val>
        </c:ser>
        <c:ser>
          <c:idx val="6"/>
          <c:order val="6"/>
          <c:tx>
            <c:v>T = 125 F</c:v>
          </c:tx>
          <c:spPr>
            <a:ln w="12700">
              <a:solidFill>
                <a:srgbClr val="008080"/>
              </a:solidFill>
              <a:prstDash val="solid"/>
            </a:ln>
          </c:spPr>
          <c:marker>
            <c:symbol val="plus"/>
            <c:size val="5"/>
            <c:spPr>
              <a:noFill/>
              <a:ln>
                <a:solidFill>
                  <a:srgbClr val="008080"/>
                </a:solidFill>
                <a:prstDash val="solid"/>
              </a:ln>
            </c:spPr>
          </c:marker>
          <c:trendline>
            <c:spPr>
              <a:ln w="25400">
                <a:solidFill>
                  <a:srgbClr val="000000"/>
                </a:solidFill>
                <a:prstDash val="solid"/>
              </a:ln>
            </c:spPr>
            <c:trendlineType val="poly"/>
            <c:order val="3"/>
          </c:trendline>
          <c:cat>
            <c:numRef>
              <c:f>'DATA - MW = 18.85 (Sp Gr= 0.65)'!$A$8:$A$33</c:f>
              <c:numCache>
                <c:formatCode>General</c:formatCode>
                <c:ptCount val="26"/>
                <c:pt idx="0">
                  <c:v>0</c:v>
                </c:pt>
                <c:pt idx="1">
                  <c:v>50</c:v>
                </c:pt>
                <c:pt idx="2">
                  <c:v>100</c:v>
                </c:pt>
                <c:pt idx="3">
                  <c:v>150</c:v>
                </c:pt>
                <c:pt idx="4">
                  <c:v>200</c:v>
                </c:pt>
                <c:pt idx="5">
                  <c:v>250</c:v>
                </c:pt>
                <c:pt idx="6">
                  <c:v>300</c:v>
                </c:pt>
                <c:pt idx="7">
                  <c:v>350</c:v>
                </c:pt>
                <c:pt idx="8">
                  <c:v>400</c:v>
                </c:pt>
                <c:pt idx="9">
                  <c:v>450</c:v>
                </c:pt>
                <c:pt idx="10">
                  <c:v>500</c:v>
                </c:pt>
                <c:pt idx="11">
                  <c:v>550</c:v>
                </c:pt>
                <c:pt idx="12">
                  <c:v>600</c:v>
                </c:pt>
                <c:pt idx="13">
                  <c:v>650</c:v>
                </c:pt>
                <c:pt idx="14">
                  <c:v>700</c:v>
                </c:pt>
                <c:pt idx="15">
                  <c:v>750</c:v>
                </c:pt>
                <c:pt idx="16">
                  <c:v>800</c:v>
                </c:pt>
                <c:pt idx="17">
                  <c:v>850</c:v>
                </c:pt>
                <c:pt idx="18">
                  <c:v>900</c:v>
                </c:pt>
                <c:pt idx="19">
                  <c:v>950</c:v>
                </c:pt>
                <c:pt idx="20">
                  <c:v>1000</c:v>
                </c:pt>
                <c:pt idx="21">
                  <c:v>1050</c:v>
                </c:pt>
                <c:pt idx="22">
                  <c:v>1100</c:v>
                </c:pt>
                <c:pt idx="23">
                  <c:v>1150</c:v>
                </c:pt>
                <c:pt idx="24">
                  <c:v>1200</c:v>
                </c:pt>
                <c:pt idx="25">
                  <c:v>1250</c:v>
                </c:pt>
              </c:numCache>
            </c:numRef>
          </c:cat>
          <c:val>
            <c:numRef>
              <c:f>'DATA - MW = 18.85 (Sp Gr= 0.65)'!$G$8:$G$33</c:f>
              <c:numCache>
                <c:formatCode>General</c:formatCode>
                <c:ptCount val="26"/>
                <c:pt idx="0">
                  <c:v>1</c:v>
                </c:pt>
                <c:pt idx="1">
                  <c:v>0.98899999999999999</c:v>
                </c:pt>
                <c:pt idx="2">
                  <c:v>0.98099999999999998</c:v>
                </c:pt>
                <c:pt idx="3">
                  <c:v>0.97499999999999998</c:v>
                </c:pt>
                <c:pt idx="4">
                  <c:v>0.96750000000000003</c:v>
                </c:pt>
                <c:pt idx="5">
                  <c:v>0.96150000000000002</c:v>
                </c:pt>
                <c:pt idx="6">
                  <c:v>0.95350000000000001</c:v>
                </c:pt>
                <c:pt idx="7">
                  <c:v>0.94699999999999995</c:v>
                </c:pt>
                <c:pt idx="8">
                  <c:v>0.9405</c:v>
                </c:pt>
                <c:pt idx="9">
                  <c:v>0.93599999999999994</c:v>
                </c:pt>
                <c:pt idx="10">
                  <c:v>0.92900000000000005</c:v>
                </c:pt>
                <c:pt idx="11">
                  <c:v>0.9225000000000001</c:v>
                </c:pt>
                <c:pt idx="12">
                  <c:v>0.91749999999999998</c:v>
                </c:pt>
                <c:pt idx="13">
                  <c:v>0.91149999999999998</c:v>
                </c:pt>
                <c:pt idx="14">
                  <c:v>0.90400000000000003</c:v>
                </c:pt>
                <c:pt idx="15">
                  <c:v>0.89800000000000002</c:v>
                </c:pt>
                <c:pt idx="16">
                  <c:v>0.89050000000000007</c:v>
                </c:pt>
                <c:pt idx="17">
                  <c:v>0.88449999999999995</c:v>
                </c:pt>
                <c:pt idx="18">
                  <c:v>0.88</c:v>
                </c:pt>
                <c:pt idx="19">
                  <c:v>0.87450000000000006</c:v>
                </c:pt>
                <c:pt idx="20">
                  <c:v>0.86749999999999994</c:v>
                </c:pt>
                <c:pt idx="21">
                  <c:v>0.86049999999999993</c:v>
                </c:pt>
                <c:pt idx="22">
                  <c:v>0.85399999999999998</c:v>
                </c:pt>
                <c:pt idx="23">
                  <c:v>0.84849999999999992</c:v>
                </c:pt>
                <c:pt idx="24">
                  <c:v>0.84399999999999997</c:v>
                </c:pt>
                <c:pt idx="25">
                  <c:v>0.83950000000000002</c:v>
                </c:pt>
              </c:numCache>
            </c:numRef>
          </c:val>
        </c:ser>
        <c:marker val="1"/>
        <c:axId val="155219072"/>
        <c:axId val="155220992"/>
      </c:lineChart>
      <c:catAx>
        <c:axId val="155219072"/>
        <c:scaling>
          <c:orientation val="minMax"/>
        </c:scaling>
        <c:axPos val="b"/>
        <c:title>
          <c:tx>
            <c:rich>
              <a:bodyPr/>
              <a:lstStyle/>
              <a:p>
                <a:pPr>
                  <a:defRPr sz="1000" b="1" i="0" u="none" strike="noStrike" baseline="0">
                    <a:solidFill>
                      <a:srgbClr val="000000"/>
                    </a:solidFill>
                    <a:latin typeface="Arial"/>
                    <a:ea typeface="Arial"/>
                    <a:cs typeface="Arial"/>
                  </a:defRPr>
                </a:pPr>
                <a:r>
                  <a:rPr lang="en-US"/>
                  <a:t>Pressure (psig)</a:t>
                </a:r>
              </a:p>
            </c:rich>
          </c:tx>
          <c:layout>
            <c:manualLayout>
              <c:xMode val="edge"/>
              <c:yMode val="edge"/>
              <c:x val="0.39733629300776929"/>
              <c:y val="0.94453507340946163"/>
            </c:manualLayout>
          </c:layout>
          <c:spPr>
            <a:noFill/>
            <a:ln w="25400">
              <a:noFill/>
            </a:ln>
          </c:spPr>
        </c:title>
        <c:numFmt formatCode="General" sourceLinked="1"/>
        <c:minorTickMark val="cross"/>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55220992"/>
        <c:crossesAt val="0.5"/>
        <c:auto val="1"/>
        <c:lblAlgn val="ctr"/>
        <c:lblOffset val="100"/>
        <c:tickLblSkip val="2"/>
        <c:tickMarkSkip val="1"/>
      </c:catAx>
      <c:valAx>
        <c:axId val="155220992"/>
        <c:scaling>
          <c:orientation val="minMax"/>
          <c:min val="0.5"/>
        </c:scaling>
        <c:axPos val="l"/>
        <c:majorGridlines>
          <c:spPr>
            <a:ln w="3175">
              <a:solidFill>
                <a:srgbClr val="000000"/>
              </a:solidFill>
              <a:prstDash val="solid"/>
            </a:ln>
          </c:spPr>
        </c:majorGridlines>
        <c:title>
          <c:tx>
            <c:rich>
              <a:bodyPr/>
              <a:lstStyle/>
              <a:p>
                <a:pPr>
                  <a:defRPr sz="1000" b="1" i="0" u="none" strike="noStrike" baseline="0">
                    <a:solidFill>
                      <a:srgbClr val="000000"/>
                    </a:solidFill>
                    <a:latin typeface="Arial"/>
                    <a:ea typeface="Arial"/>
                    <a:cs typeface="Arial"/>
                  </a:defRPr>
                </a:pPr>
                <a:r>
                  <a:rPr lang="en-US"/>
                  <a:t>Z</a:t>
                </a:r>
              </a:p>
            </c:rich>
          </c:tx>
          <c:layout>
            <c:manualLayout>
              <c:xMode val="edge"/>
              <c:yMode val="edge"/>
              <c:x val="1.2208657047724751E-2"/>
              <c:y val="0.49918433931484518"/>
            </c:manualLayout>
          </c:layout>
          <c:spPr>
            <a:noFill/>
            <a:ln w="25400">
              <a:noFill/>
            </a:ln>
          </c:spPr>
        </c:title>
        <c:numFmt formatCode="General" sourceLinked="1"/>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55219072"/>
        <c:crosses val="autoZero"/>
        <c:crossBetween val="between"/>
      </c:valAx>
      <c:spPr>
        <a:solidFill>
          <a:srgbClr val="FFFFFF"/>
        </a:solidFill>
        <a:ln w="12700">
          <a:solidFill>
            <a:srgbClr val="808080"/>
          </a:solidFill>
          <a:prstDash val="solid"/>
        </a:ln>
      </c:spPr>
    </c:plotArea>
    <c:legend>
      <c:legendPos val="r"/>
      <c:layout>
        <c:manualLayout>
          <c:xMode val="edge"/>
          <c:yMode val="edge"/>
          <c:x val="0.84350721420643737"/>
          <c:y val="0.26753670473083196"/>
          <c:w val="0.15205327413984462"/>
          <c:h val="0.48123980424143559"/>
        </c:manualLayout>
      </c:layout>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n-US"/>
        </a:p>
      </c:txPr>
    </c:legend>
    <c:plotVisOnly val="1"/>
    <c:dispBlanksAs val="gap"/>
  </c:chart>
  <c:spPr>
    <a:noFill/>
    <a:ln w="9525">
      <a:noFill/>
    </a:ln>
  </c:spPr>
  <c:txPr>
    <a:bodyPr/>
    <a:lstStyle/>
    <a:p>
      <a:pPr>
        <a:defRPr sz="1000" b="0" i="0" u="none" strike="noStrike" baseline="0">
          <a:solidFill>
            <a:srgbClr val="000000"/>
          </a:solidFill>
          <a:latin typeface="Arial"/>
          <a:ea typeface="Arial"/>
          <a:cs typeface="Arial"/>
        </a:defRPr>
      </a:pPr>
      <a:endParaRPr lang="en-US"/>
    </a:p>
  </c:txPr>
</c:chartSpace>
</file>

<file path=xl/charts/chart6.xml><?xml version="1.0" encoding="utf-8"?>
<c:chartSpace xmlns:c="http://schemas.openxmlformats.org/drawingml/2006/chart" xmlns:a="http://schemas.openxmlformats.org/drawingml/2006/main" xmlns:r="http://schemas.openxmlformats.org/officeDocument/2006/relationships">
  <c:lang val="en-US"/>
  <c:protection/>
  <c:chart>
    <c:title>
      <c:tx>
        <c:rich>
          <a:bodyPr/>
          <a:lstStyle/>
          <a:p>
            <a:pPr>
              <a:defRPr sz="1200" b="1" i="0" u="none" strike="noStrike" baseline="0">
                <a:solidFill>
                  <a:srgbClr val="000000"/>
                </a:solidFill>
                <a:latin typeface="Arial"/>
                <a:ea typeface="Arial"/>
                <a:cs typeface="Arial"/>
              </a:defRPr>
            </a:pPr>
            <a:r>
              <a:rPr lang="en-US"/>
              <a:t>Compressibility (Sp Gr = 0.65, MW = 18.85)</a:t>
            </a:r>
          </a:p>
        </c:rich>
      </c:tx>
      <c:layout>
        <c:manualLayout>
          <c:xMode val="edge"/>
          <c:yMode val="edge"/>
          <c:x val="0.32075471698113206"/>
          <c:y val="1.9575856443719414E-2"/>
        </c:manualLayout>
      </c:layout>
      <c:spPr>
        <a:noFill/>
        <a:ln w="25400">
          <a:noFill/>
        </a:ln>
      </c:spPr>
    </c:title>
    <c:plotArea>
      <c:layout>
        <c:manualLayout>
          <c:layoutTarget val="inner"/>
          <c:xMode val="edge"/>
          <c:yMode val="edge"/>
          <c:x val="7.7691453940066602E-2"/>
          <c:y val="0.12234910277324634"/>
          <c:w val="0.76581576026637077"/>
          <c:h val="0.77324632952691674"/>
        </c:manualLayout>
      </c:layout>
      <c:lineChart>
        <c:grouping val="standard"/>
        <c:ser>
          <c:idx val="0"/>
          <c:order val="0"/>
          <c:tx>
            <c:v>T = 145</c:v>
          </c:tx>
          <c:spPr>
            <a:ln w="12700">
              <a:solidFill>
                <a:srgbClr val="000080"/>
              </a:solidFill>
              <a:prstDash val="solid"/>
            </a:ln>
          </c:spPr>
          <c:marker>
            <c:symbol val="diamond"/>
            <c:size val="5"/>
            <c:spPr>
              <a:solidFill>
                <a:srgbClr val="000080"/>
              </a:solidFill>
              <a:ln>
                <a:solidFill>
                  <a:srgbClr val="000080"/>
                </a:solidFill>
                <a:prstDash val="solid"/>
              </a:ln>
            </c:spPr>
          </c:marker>
          <c:trendline>
            <c:spPr>
              <a:ln w="25400">
                <a:solidFill>
                  <a:srgbClr val="000000"/>
                </a:solidFill>
                <a:prstDash val="solid"/>
              </a:ln>
            </c:spPr>
            <c:trendlineType val="poly"/>
            <c:order val="3"/>
          </c:trendline>
          <c:cat>
            <c:numRef>
              <c:f>'DATA - MW = 18.85 (Sp Gr= 0.65)'!$A$8:$A$33</c:f>
              <c:numCache>
                <c:formatCode>General</c:formatCode>
                <c:ptCount val="26"/>
                <c:pt idx="0">
                  <c:v>0</c:v>
                </c:pt>
                <c:pt idx="1">
                  <c:v>50</c:v>
                </c:pt>
                <c:pt idx="2">
                  <c:v>100</c:v>
                </c:pt>
                <c:pt idx="3">
                  <c:v>150</c:v>
                </c:pt>
                <c:pt idx="4">
                  <c:v>200</c:v>
                </c:pt>
                <c:pt idx="5">
                  <c:v>250</c:v>
                </c:pt>
                <c:pt idx="6">
                  <c:v>300</c:v>
                </c:pt>
                <c:pt idx="7">
                  <c:v>350</c:v>
                </c:pt>
                <c:pt idx="8">
                  <c:v>400</c:v>
                </c:pt>
                <c:pt idx="9">
                  <c:v>450</c:v>
                </c:pt>
                <c:pt idx="10">
                  <c:v>500</c:v>
                </c:pt>
                <c:pt idx="11">
                  <c:v>550</c:v>
                </c:pt>
                <c:pt idx="12">
                  <c:v>600</c:v>
                </c:pt>
                <c:pt idx="13">
                  <c:v>650</c:v>
                </c:pt>
                <c:pt idx="14">
                  <c:v>700</c:v>
                </c:pt>
                <c:pt idx="15">
                  <c:v>750</c:v>
                </c:pt>
                <c:pt idx="16">
                  <c:v>800</c:v>
                </c:pt>
                <c:pt idx="17">
                  <c:v>850</c:v>
                </c:pt>
                <c:pt idx="18">
                  <c:v>900</c:v>
                </c:pt>
                <c:pt idx="19">
                  <c:v>950</c:v>
                </c:pt>
                <c:pt idx="20">
                  <c:v>1000</c:v>
                </c:pt>
                <c:pt idx="21">
                  <c:v>1050</c:v>
                </c:pt>
                <c:pt idx="22">
                  <c:v>1100</c:v>
                </c:pt>
                <c:pt idx="23">
                  <c:v>1150</c:v>
                </c:pt>
                <c:pt idx="24">
                  <c:v>1200</c:v>
                </c:pt>
                <c:pt idx="25">
                  <c:v>1250</c:v>
                </c:pt>
              </c:numCache>
            </c:numRef>
          </c:cat>
          <c:val>
            <c:numRef>
              <c:f>'DATA - MW = 18.85 (Sp Gr= 0.65)'!$C$8:$C$33</c:f>
              <c:numCache>
                <c:formatCode>General</c:formatCode>
                <c:ptCount val="26"/>
                <c:pt idx="0">
                  <c:v>1</c:v>
                </c:pt>
                <c:pt idx="1">
                  <c:v>0.99060000000000004</c:v>
                </c:pt>
                <c:pt idx="2">
                  <c:v>0.98499999999999999</c:v>
                </c:pt>
                <c:pt idx="3">
                  <c:v>0.97899999999999998</c:v>
                </c:pt>
                <c:pt idx="4">
                  <c:v>0.97270000000000001</c:v>
                </c:pt>
                <c:pt idx="5">
                  <c:v>0.96750000000000003</c:v>
                </c:pt>
                <c:pt idx="6">
                  <c:v>0.95950000000000002</c:v>
                </c:pt>
                <c:pt idx="7">
                  <c:v>0.95419999999999994</c:v>
                </c:pt>
                <c:pt idx="8">
                  <c:v>0.94809999999999994</c:v>
                </c:pt>
                <c:pt idx="9">
                  <c:v>0.94319999999999993</c:v>
                </c:pt>
                <c:pt idx="10">
                  <c:v>0.93699999999999994</c:v>
                </c:pt>
                <c:pt idx="11">
                  <c:v>0.9325</c:v>
                </c:pt>
                <c:pt idx="12">
                  <c:v>0.92910000000000004</c:v>
                </c:pt>
                <c:pt idx="13">
                  <c:v>0.92390000000000005</c:v>
                </c:pt>
                <c:pt idx="14">
                  <c:v>0.91760000000000008</c:v>
                </c:pt>
                <c:pt idx="15">
                  <c:v>0.91239999999999999</c:v>
                </c:pt>
                <c:pt idx="16">
                  <c:v>0.90529999999999999</c:v>
                </c:pt>
                <c:pt idx="17">
                  <c:v>0.90090000000000003</c:v>
                </c:pt>
                <c:pt idx="18">
                  <c:v>0.89680000000000004</c:v>
                </c:pt>
                <c:pt idx="19">
                  <c:v>0.89170000000000005</c:v>
                </c:pt>
                <c:pt idx="20">
                  <c:v>0.88549999999999995</c:v>
                </c:pt>
                <c:pt idx="21">
                  <c:v>0.88009999999999999</c:v>
                </c:pt>
                <c:pt idx="22">
                  <c:v>0.87480000000000002</c:v>
                </c:pt>
                <c:pt idx="23">
                  <c:v>0.86970000000000003</c:v>
                </c:pt>
                <c:pt idx="24">
                  <c:v>0.86480000000000001</c:v>
                </c:pt>
                <c:pt idx="25">
                  <c:v>0.86150000000000004</c:v>
                </c:pt>
              </c:numCache>
            </c:numRef>
          </c:val>
        </c:ser>
        <c:ser>
          <c:idx val="1"/>
          <c:order val="1"/>
          <c:tx>
            <c:v>T = 140</c:v>
          </c:tx>
          <c:spPr>
            <a:ln w="12700">
              <a:solidFill>
                <a:srgbClr val="FF00FF"/>
              </a:solidFill>
              <a:prstDash val="solid"/>
            </a:ln>
          </c:spPr>
          <c:marker>
            <c:symbol val="square"/>
            <c:size val="5"/>
            <c:spPr>
              <a:solidFill>
                <a:srgbClr val="FF00FF"/>
              </a:solidFill>
              <a:ln>
                <a:solidFill>
                  <a:srgbClr val="FF00FF"/>
                </a:solidFill>
                <a:prstDash val="solid"/>
              </a:ln>
            </c:spPr>
          </c:marker>
          <c:trendline>
            <c:spPr>
              <a:ln w="25400">
                <a:solidFill>
                  <a:srgbClr val="000000"/>
                </a:solidFill>
                <a:prstDash val="solid"/>
              </a:ln>
            </c:spPr>
            <c:trendlineType val="poly"/>
            <c:order val="3"/>
          </c:trendline>
          <c:cat>
            <c:numRef>
              <c:f>'DATA - MW = 18.85 (Sp Gr= 0.65)'!$A$8:$A$33</c:f>
              <c:numCache>
                <c:formatCode>General</c:formatCode>
                <c:ptCount val="26"/>
                <c:pt idx="0">
                  <c:v>0</c:v>
                </c:pt>
                <c:pt idx="1">
                  <c:v>50</c:v>
                </c:pt>
                <c:pt idx="2">
                  <c:v>100</c:v>
                </c:pt>
                <c:pt idx="3">
                  <c:v>150</c:v>
                </c:pt>
                <c:pt idx="4">
                  <c:v>200</c:v>
                </c:pt>
                <c:pt idx="5">
                  <c:v>250</c:v>
                </c:pt>
                <c:pt idx="6">
                  <c:v>300</c:v>
                </c:pt>
                <c:pt idx="7">
                  <c:v>350</c:v>
                </c:pt>
                <c:pt idx="8">
                  <c:v>400</c:v>
                </c:pt>
                <c:pt idx="9">
                  <c:v>450</c:v>
                </c:pt>
                <c:pt idx="10">
                  <c:v>500</c:v>
                </c:pt>
                <c:pt idx="11">
                  <c:v>550</c:v>
                </c:pt>
                <c:pt idx="12">
                  <c:v>600</c:v>
                </c:pt>
                <c:pt idx="13">
                  <c:v>650</c:v>
                </c:pt>
                <c:pt idx="14">
                  <c:v>700</c:v>
                </c:pt>
                <c:pt idx="15">
                  <c:v>750</c:v>
                </c:pt>
                <c:pt idx="16">
                  <c:v>800</c:v>
                </c:pt>
                <c:pt idx="17">
                  <c:v>850</c:v>
                </c:pt>
                <c:pt idx="18">
                  <c:v>900</c:v>
                </c:pt>
                <c:pt idx="19">
                  <c:v>950</c:v>
                </c:pt>
                <c:pt idx="20">
                  <c:v>1000</c:v>
                </c:pt>
                <c:pt idx="21">
                  <c:v>1050</c:v>
                </c:pt>
                <c:pt idx="22">
                  <c:v>1100</c:v>
                </c:pt>
                <c:pt idx="23">
                  <c:v>1150</c:v>
                </c:pt>
                <c:pt idx="24">
                  <c:v>1200</c:v>
                </c:pt>
                <c:pt idx="25">
                  <c:v>1250</c:v>
                </c:pt>
              </c:numCache>
            </c:numRef>
          </c:cat>
          <c:val>
            <c:numRef>
              <c:f>'DATA - MW = 18.85 (Sp Gr= 0.65)'!$D$8:$D$33</c:f>
              <c:numCache>
                <c:formatCode>General</c:formatCode>
                <c:ptCount val="26"/>
                <c:pt idx="0">
                  <c:v>1</c:v>
                </c:pt>
                <c:pt idx="1">
                  <c:v>0.99019999999999997</c:v>
                </c:pt>
                <c:pt idx="2">
                  <c:v>0.98399999999999999</c:v>
                </c:pt>
                <c:pt idx="3">
                  <c:v>0.97799999999999998</c:v>
                </c:pt>
                <c:pt idx="4">
                  <c:v>0.97139999999999993</c:v>
                </c:pt>
                <c:pt idx="5">
                  <c:v>0.96599999999999997</c:v>
                </c:pt>
                <c:pt idx="6">
                  <c:v>0.95799999999999996</c:v>
                </c:pt>
                <c:pt idx="7">
                  <c:v>0.95239999999999991</c:v>
                </c:pt>
                <c:pt idx="8">
                  <c:v>0.94619999999999993</c:v>
                </c:pt>
                <c:pt idx="9">
                  <c:v>0.94140000000000001</c:v>
                </c:pt>
                <c:pt idx="10">
                  <c:v>0.93499999999999994</c:v>
                </c:pt>
                <c:pt idx="11">
                  <c:v>0.93</c:v>
                </c:pt>
                <c:pt idx="12">
                  <c:v>0.92620000000000002</c:v>
                </c:pt>
                <c:pt idx="13">
                  <c:v>0.92080000000000006</c:v>
                </c:pt>
                <c:pt idx="14">
                  <c:v>0.91420000000000001</c:v>
                </c:pt>
                <c:pt idx="15">
                  <c:v>0.90880000000000005</c:v>
                </c:pt>
                <c:pt idx="16">
                  <c:v>0.90160000000000007</c:v>
                </c:pt>
                <c:pt idx="17">
                  <c:v>0.89680000000000004</c:v>
                </c:pt>
                <c:pt idx="18">
                  <c:v>0.89260000000000006</c:v>
                </c:pt>
                <c:pt idx="19">
                  <c:v>0.88739999999999997</c:v>
                </c:pt>
                <c:pt idx="20">
                  <c:v>0.88100000000000001</c:v>
                </c:pt>
                <c:pt idx="21">
                  <c:v>0.87519999999999998</c:v>
                </c:pt>
                <c:pt idx="22">
                  <c:v>0.86960000000000004</c:v>
                </c:pt>
                <c:pt idx="23">
                  <c:v>0.86439999999999995</c:v>
                </c:pt>
                <c:pt idx="24">
                  <c:v>0.85960000000000003</c:v>
                </c:pt>
                <c:pt idx="25">
                  <c:v>0.85599999999999998</c:v>
                </c:pt>
              </c:numCache>
            </c:numRef>
          </c:val>
        </c:ser>
        <c:ser>
          <c:idx val="2"/>
          <c:order val="2"/>
          <c:tx>
            <c:v>T = 135</c:v>
          </c:tx>
          <c:spPr>
            <a:ln w="12700">
              <a:solidFill>
                <a:srgbClr val="FFFF00"/>
              </a:solidFill>
              <a:prstDash val="solid"/>
            </a:ln>
          </c:spPr>
          <c:marker>
            <c:symbol val="triangle"/>
            <c:size val="5"/>
            <c:spPr>
              <a:solidFill>
                <a:srgbClr val="FFFF00"/>
              </a:solidFill>
              <a:ln>
                <a:solidFill>
                  <a:srgbClr val="FFFF00"/>
                </a:solidFill>
                <a:prstDash val="solid"/>
              </a:ln>
            </c:spPr>
          </c:marker>
          <c:trendline>
            <c:spPr>
              <a:ln w="25400">
                <a:solidFill>
                  <a:srgbClr val="000000"/>
                </a:solidFill>
                <a:prstDash val="solid"/>
              </a:ln>
            </c:spPr>
            <c:trendlineType val="poly"/>
            <c:order val="3"/>
          </c:trendline>
          <c:cat>
            <c:numRef>
              <c:f>'DATA - MW = 18.85 (Sp Gr= 0.65)'!$A$8:$A$33</c:f>
              <c:numCache>
                <c:formatCode>General</c:formatCode>
                <c:ptCount val="26"/>
                <c:pt idx="0">
                  <c:v>0</c:v>
                </c:pt>
                <c:pt idx="1">
                  <c:v>50</c:v>
                </c:pt>
                <c:pt idx="2">
                  <c:v>100</c:v>
                </c:pt>
                <c:pt idx="3">
                  <c:v>150</c:v>
                </c:pt>
                <c:pt idx="4">
                  <c:v>200</c:v>
                </c:pt>
                <c:pt idx="5">
                  <c:v>250</c:v>
                </c:pt>
                <c:pt idx="6">
                  <c:v>300</c:v>
                </c:pt>
                <c:pt idx="7">
                  <c:v>350</c:v>
                </c:pt>
                <c:pt idx="8">
                  <c:v>400</c:v>
                </c:pt>
                <c:pt idx="9">
                  <c:v>450</c:v>
                </c:pt>
                <c:pt idx="10">
                  <c:v>500</c:v>
                </c:pt>
                <c:pt idx="11">
                  <c:v>550</c:v>
                </c:pt>
                <c:pt idx="12">
                  <c:v>600</c:v>
                </c:pt>
                <c:pt idx="13">
                  <c:v>650</c:v>
                </c:pt>
                <c:pt idx="14">
                  <c:v>700</c:v>
                </c:pt>
                <c:pt idx="15">
                  <c:v>750</c:v>
                </c:pt>
                <c:pt idx="16">
                  <c:v>800</c:v>
                </c:pt>
                <c:pt idx="17">
                  <c:v>850</c:v>
                </c:pt>
                <c:pt idx="18">
                  <c:v>900</c:v>
                </c:pt>
                <c:pt idx="19">
                  <c:v>950</c:v>
                </c:pt>
                <c:pt idx="20">
                  <c:v>1000</c:v>
                </c:pt>
                <c:pt idx="21">
                  <c:v>1050</c:v>
                </c:pt>
                <c:pt idx="22">
                  <c:v>1100</c:v>
                </c:pt>
                <c:pt idx="23">
                  <c:v>1150</c:v>
                </c:pt>
                <c:pt idx="24">
                  <c:v>1200</c:v>
                </c:pt>
                <c:pt idx="25">
                  <c:v>1250</c:v>
                </c:pt>
              </c:numCache>
            </c:numRef>
          </c:cat>
          <c:val>
            <c:numRef>
              <c:f>'DATA - MW = 18.85 (Sp Gr= 0.65)'!$E$8:$E$33</c:f>
              <c:numCache>
                <c:formatCode>General</c:formatCode>
                <c:ptCount val="26"/>
                <c:pt idx="0">
                  <c:v>1</c:v>
                </c:pt>
                <c:pt idx="1">
                  <c:v>0.98980000000000001</c:v>
                </c:pt>
                <c:pt idx="2">
                  <c:v>0.98299999999999998</c:v>
                </c:pt>
                <c:pt idx="3">
                  <c:v>0.97699999999999998</c:v>
                </c:pt>
                <c:pt idx="4">
                  <c:v>0.97009999999999996</c:v>
                </c:pt>
                <c:pt idx="5">
                  <c:v>0.96449999999999991</c:v>
                </c:pt>
                <c:pt idx="6">
                  <c:v>0.95649999999999991</c:v>
                </c:pt>
                <c:pt idx="7">
                  <c:v>0.9506</c:v>
                </c:pt>
                <c:pt idx="8">
                  <c:v>0.94430000000000003</c:v>
                </c:pt>
                <c:pt idx="9">
                  <c:v>0.93959999999999999</c:v>
                </c:pt>
                <c:pt idx="10">
                  <c:v>0.93299999999999994</c:v>
                </c:pt>
                <c:pt idx="11">
                  <c:v>0.92749999999999999</c:v>
                </c:pt>
                <c:pt idx="12">
                  <c:v>0.92330000000000001</c:v>
                </c:pt>
                <c:pt idx="13">
                  <c:v>0.91770000000000007</c:v>
                </c:pt>
                <c:pt idx="14">
                  <c:v>0.91080000000000005</c:v>
                </c:pt>
                <c:pt idx="15">
                  <c:v>0.9052</c:v>
                </c:pt>
                <c:pt idx="16">
                  <c:v>0.89790000000000003</c:v>
                </c:pt>
                <c:pt idx="17">
                  <c:v>0.89270000000000005</c:v>
                </c:pt>
                <c:pt idx="18">
                  <c:v>0.88839999999999997</c:v>
                </c:pt>
                <c:pt idx="19">
                  <c:v>0.8831</c:v>
                </c:pt>
                <c:pt idx="20">
                  <c:v>0.87650000000000006</c:v>
                </c:pt>
                <c:pt idx="21">
                  <c:v>0.87029999999999996</c:v>
                </c:pt>
                <c:pt idx="22">
                  <c:v>0.86439999999999995</c:v>
                </c:pt>
                <c:pt idx="23">
                  <c:v>0.85909999999999997</c:v>
                </c:pt>
                <c:pt idx="24">
                  <c:v>0.85439999999999994</c:v>
                </c:pt>
                <c:pt idx="25">
                  <c:v>0.85050000000000003</c:v>
                </c:pt>
              </c:numCache>
            </c:numRef>
          </c:val>
        </c:ser>
        <c:ser>
          <c:idx val="3"/>
          <c:order val="3"/>
          <c:tx>
            <c:v>T = 130</c:v>
          </c:tx>
          <c:spPr>
            <a:ln w="12700">
              <a:solidFill>
                <a:srgbClr val="00FFFF"/>
              </a:solidFill>
              <a:prstDash val="solid"/>
            </a:ln>
          </c:spPr>
          <c:marker>
            <c:symbol val="x"/>
            <c:size val="5"/>
            <c:spPr>
              <a:noFill/>
              <a:ln>
                <a:solidFill>
                  <a:srgbClr val="00FFFF"/>
                </a:solidFill>
                <a:prstDash val="solid"/>
              </a:ln>
            </c:spPr>
          </c:marker>
          <c:trendline>
            <c:spPr>
              <a:ln w="25400">
                <a:solidFill>
                  <a:srgbClr val="000000"/>
                </a:solidFill>
                <a:prstDash val="solid"/>
              </a:ln>
            </c:spPr>
            <c:trendlineType val="poly"/>
            <c:order val="3"/>
          </c:trendline>
          <c:cat>
            <c:numRef>
              <c:f>'DATA - MW = 18.85 (Sp Gr= 0.65)'!$A$8:$A$33</c:f>
              <c:numCache>
                <c:formatCode>General</c:formatCode>
                <c:ptCount val="26"/>
                <c:pt idx="0">
                  <c:v>0</c:v>
                </c:pt>
                <c:pt idx="1">
                  <c:v>50</c:v>
                </c:pt>
                <c:pt idx="2">
                  <c:v>100</c:v>
                </c:pt>
                <c:pt idx="3">
                  <c:v>150</c:v>
                </c:pt>
                <c:pt idx="4">
                  <c:v>200</c:v>
                </c:pt>
                <c:pt idx="5">
                  <c:v>250</c:v>
                </c:pt>
                <c:pt idx="6">
                  <c:v>300</c:v>
                </c:pt>
                <c:pt idx="7">
                  <c:v>350</c:v>
                </c:pt>
                <c:pt idx="8">
                  <c:v>400</c:v>
                </c:pt>
                <c:pt idx="9">
                  <c:v>450</c:v>
                </c:pt>
                <c:pt idx="10">
                  <c:v>500</c:v>
                </c:pt>
                <c:pt idx="11">
                  <c:v>550</c:v>
                </c:pt>
                <c:pt idx="12">
                  <c:v>600</c:v>
                </c:pt>
                <c:pt idx="13">
                  <c:v>650</c:v>
                </c:pt>
                <c:pt idx="14">
                  <c:v>700</c:v>
                </c:pt>
                <c:pt idx="15">
                  <c:v>750</c:v>
                </c:pt>
                <c:pt idx="16">
                  <c:v>800</c:v>
                </c:pt>
                <c:pt idx="17">
                  <c:v>850</c:v>
                </c:pt>
                <c:pt idx="18">
                  <c:v>900</c:v>
                </c:pt>
                <c:pt idx="19">
                  <c:v>950</c:v>
                </c:pt>
                <c:pt idx="20">
                  <c:v>1000</c:v>
                </c:pt>
                <c:pt idx="21">
                  <c:v>1050</c:v>
                </c:pt>
                <c:pt idx="22">
                  <c:v>1100</c:v>
                </c:pt>
                <c:pt idx="23">
                  <c:v>1150</c:v>
                </c:pt>
                <c:pt idx="24">
                  <c:v>1200</c:v>
                </c:pt>
                <c:pt idx="25">
                  <c:v>1250</c:v>
                </c:pt>
              </c:numCache>
            </c:numRef>
          </c:cat>
          <c:val>
            <c:numRef>
              <c:f>'DATA - MW = 18.85 (Sp Gr= 0.65)'!$F$8:$F$33</c:f>
              <c:numCache>
                <c:formatCode>General</c:formatCode>
                <c:ptCount val="26"/>
                <c:pt idx="0">
                  <c:v>1</c:v>
                </c:pt>
                <c:pt idx="1">
                  <c:v>0.98939999999999995</c:v>
                </c:pt>
                <c:pt idx="2">
                  <c:v>0.98199999999999998</c:v>
                </c:pt>
                <c:pt idx="3">
                  <c:v>0.97599999999999998</c:v>
                </c:pt>
                <c:pt idx="4">
                  <c:v>0.96879999999999999</c:v>
                </c:pt>
                <c:pt idx="5">
                  <c:v>0.96299999999999997</c:v>
                </c:pt>
                <c:pt idx="6">
                  <c:v>0.95499999999999996</c:v>
                </c:pt>
                <c:pt idx="7">
                  <c:v>0.94879999999999998</c:v>
                </c:pt>
                <c:pt idx="8">
                  <c:v>0.94240000000000002</c:v>
                </c:pt>
                <c:pt idx="9">
                  <c:v>0.93779999999999997</c:v>
                </c:pt>
                <c:pt idx="10">
                  <c:v>0.93099999999999994</c:v>
                </c:pt>
                <c:pt idx="11">
                  <c:v>0.92500000000000004</c:v>
                </c:pt>
                <c:pt idx="12">
                  <c:v>0.9204</c:v>
                </c:pt>
                <c:pt idx="13">
                  <c:v>0.91460000000000008</c:v>
                </c:pt>
                <c:pt idx="14">
                  <c:v>0.90739999999999998</c:v>
                </c:pt>
                <c:pt idx="15">
                  <c:v>0.90160000000000007</c:v>
                </c:pt>
                <c:pt idx="16">
                  <c:v>0.89419999999999999</c:v>
                </c:pt>
                <c:pt idx="17">
                  <c:v>0.88860000000000006</c:v>
                </c:pt>
                <c:pt idx="18">
                  <c:v>0.88419999999999999</c:v>
                </c:pt>
                <c:pt idx="19">
                  <c:v>0.87880000000000003</c:v>
                </c:pt>
                <c:pt idx="20">
                  <c:v>0.872</c:v>
                </c:pt>
                <c:pt idx="21">
                  <c:v>0.86539999999999995</c:v>
                </c:pt>
                <c:pt idx="22">
                  <c:v>0.85919999999999996</c:v>
                </c:pt>
                <c:pt idx="23">
                  <c:v>0.8538</c:v>
                </c:pt>
                <c:pt idx="24">
                  <c:v>0.84919999999999995</c:v>
                </c:pt>
                <c:pt idx="25">
                  <c:v>0.84499999999999997</c:v>
                </c:pt>
              </c:numCache>
            </c:numRef>
          </c:val>
        </c:ser>
        <c:ser>
          <c:idx val="4"/>
          <c:order val="4"/>
          <c:tx>
            <c:v>T = 120</c:v>
          </c:tx>
          <c:spPr>
            <a:ln w="12700">
              <a:solidFill>
                <a:srgbClr val="800080"/>
              </a:solidFill>
              <a:prstDash val="solid"/>
            </a:ln>
          </c:spPr>
          <c:marker>
            <c:symbol val="star"/>
            <c:size val="5"/>
            <c:spPr>
              <a:noFill/>
              <a:ln>
                <a:solidFill>
                  <a:srgbClr val="800080"/>
                </a:solidFill>
                <a:prstDash val="solid"/>
              </a:ln>
            </c:spPr>
          </c:marker>
          <c:trendline>
            <c:spPr>
              <a:ln w="25400">
                <a:solidFill>
                  <a:srgbClr val="000000"/>
                </a:solidFill>
                <a:prstDash val="solid"/>
              </a:ln>
            </c:spPr>
            <c:trendlineType val="poly"/>
            <c:order val="3"/>
          </c:trendline>
          <c:cat>
            <c:numRef>
              <c:f>'DATA - MW = 18.85 (Sp Gr= 0.65)'!$A$8:$A$33</c:f>
              <c:numCache>
                <c:formatCode>General</c:formatCode>
                <c:ptCount val="26"/>
                <c:pt idx="0">
                  <c:v>0</c:v>
                </c:pt>
                <c:pt idx="1">
                  <c:v>50</c:v>
                </c:pt>
                <c:pt idx="2">
                  <c:v>100</c:v>
                </c:pt>
                <c:pt idx="3">
                  <c:v>150</c:v>
                </c:pt>
                <c:pt idx="4">
                  <c:v>200</c:v>
                </c:pt>
                <c:pt idx="5">
                  <c:v>250</c:v>
                </c:pt>
                <c:pt idx="6">
                  <c:v>300</c:v>
                </c:pt>
                <c:pt idx="7">
                  <c:v>350</c:v>
                </c:pt>
                <c:pt idx="8">
                  <c:v>400</c:v>
                </c:pt>
                <c:pt idx="9">
                  <c:v>450</c:v>
                </c:pt>
                <c:pt idx="10">
                  <c:v>500</c:v>
                </c:pt>
                <c:pt idx="11">
                  <c:v>550</c:v>
                </c:pt>
                <c:pt idx="12">
                  <c:v>600</c:v>
                </c:pt>
                <c:pt idx="13">
                  <c:v>650</c:v>
                </c:pt>
                <c:pt idx="14">
                  <c:v>700</c:v>
                </c:pt>
                <c:pt idx="15">
                  <c:v>750</c:v>
                </c:pt>
                <c:pt idx="16">
                  <c:v>800</c:v>
                </c:pt>
                <c:pt idx="17">
                  <c:v>850</c:v>
                </c:pt>
                <c:pt idx="18">
                  <c:v>900</c:v>
                </c:pt>
                <c:pt idx="19">
                  <c:v>950</c:v>
                </c:pt>
                <c:pt idx="20">
                  <c:v>1000</c:v>
                </c:pt>
                <c:pt idx="21">
                  <c:v>1050</c:v>
                </c:pt>
                <c:pt idx="22">
                  <c:v>1100</c:v>
                </c:pt>
                <c:pt idx="23">
                  <c:v>1150</c:v>
                </c:pt>
                <c:pt idx="24">
                  <c:v>1200</c:v>
                </c:pt>
                <c:pt idx="25">
                  <c:v>1250</c:v>
                </c:pt>
              </c:numCache>
            </c:numRef>
          </c:cat>
          <c:val>
            <c:numRef>
              <c:f>'DATA - MW = 18.85 (Sp Gr= 0.65)'!$H$8:$H$33</c:f>
              <c:numCache>
                <c:formatCode>General</c:formatCode>
                <c:ptCount val="26"/>
                <c:pt idx="0">
                  <c:v>1</c:v>
                </c:pt>
                <c:pt idx="1">
                  <c:v>0.98860000000000003</c:v>
                </c:pt>
                <c:pt idx="2">
                  <c:v>0.98</c:v>
                </c:pt>
                <c:pt idx="3">
                  <c:v>0.97399999999999998</c:v>
                </c:pt>
                <c:pt idx="4">
                  <c:v>0.96619999999999995</c:v>
                </c:pt>
                <c:pt idx="5">
                  <c:v>0.96</c:v>
                </c:pt>
                <c:pt idx="6">
                  <c:v>0.95199999999999996</c:v>
                </c:pt>
                <c:pt idx="7">
                  <c:v>0.94519999999999993</c:v>
                </c:pt>
                <c:pt idx="8">
                  <c:v>0.93859999999999999</c:v>
                </c:pt>
                <c:pt idx="9">
                  <c:v>0.93420000000000003</c:v>
                </c:pt>
                <c:pt idx="10">
                  <c:v>0.92700000000000005</c:v>
                </c:pt>
                <c:pt idx="11">
                  <c:v>0.92</c:v>
                </c:pt>
                <c:pt idx="12">
                  <c:v>0.91460000000000008</c:v>
                </c:pt>
                <c:pt idx="13">
                  <c:v>0.90839999999999999</c:v>
                </c:pt>
                <c:pt idx="14">
                  <c:v>0.90060000000000007</c:v>
                </c:pt>
                <c:pt idx="15">
                  <c:v>0.89439999999999997</c:v>
                </c:pt>
                <c:pt idx="16">
                  <c:v>0.88680000000000003</c:v>
                </c:pt>
                <c:pt idx="17">
                  <c:v>0.88039999999999996</c:v>
                </c:pt>
                <c:pt idx="18">
                  <c:v>0.87580000000000002</c:v>
                </c:pt>
                <c:pt idx="19">
                  <c:v>0.87019999999999997</c:v>
                </c:pt>
                <c:pt idx="20">
                  <c:v>0.86299999999999999</c:v>
                </c:pt>
                <c:pt idx="21">
                  <c:v>0.85560000000000003</c:v>
                </c:pt>
                <c:pt idx="22">
                  <c:v>0.8488</c:v>
                </c:pt>
                <c:pt idx="23">
                  <c:v>0.84319999999999995</c:v>
                </c:pt>
                <c:pt idx="24">
                  <c:v>0.83879999999999999</c:v>
                </c:pt>
                <c:pt idx="25">
                  <c:v>0.83400000000000007</c:v>
                </c:pt>
              </c:numCache>
            </c:numRef>
          </c:val>
        </c:ser>
        <c:ser>
          <c:idx val="5"/>
          <c:order val="5"/>
          <c:tx>
            <c:v>T = 115</c:v>
          </c:tx>
          <c:spPr>
            <a:ln w="12700">
              <a:solidFill>
                <a:srgbClr val="800000"/>
              </a:solidFill>
              <a:prstDash val="solid"/>
            </a:ln>
          </c:spPr>
          <c:marker>
            <c:symbol val="circle"/>
            <c:size val="5"/>
            <c:spPr>
              <a:solidFill>
                <a:srgbClr val="800000"/>
              </a:solidFill>
              <a:ln>
                <a:solidFill>
                  <a:srgbClr val="800000"/>
                </a:solidFill>
                <a:prstDash val="solid"/>
              </a:ln>
            </c:spPr>
          </c:marker>
          <c:trendline>
            <c:spPr>
              <a:ln w="25400">
                <a:solidFill>
                  <a:srgbClr val="000000"/>
                </a:solidFill>
                <a:prstDash val="solid"/>
              </a:ln>
            </c:spPr>
            <c:trendlineType val="poly"/>
            <c:order val="3"/>
          </c:trendline>
          <c:cat>
            <c:numRef>
              <c:f>'DATA - MW = 18.85 (Sp Gr= 0.65)'!$A$8:$A$33</c:f>
              <c:numCache>
                <c:formatCode>General</c:formatCode>
                <c:ptCount val="26"/>
                <c:pt idx="0">
                  <c:v>0</c:v>
                </c:pt>
                <c:pt idx="1">
                  <c:v>50</c:v>
                </c:pt>
                <c:pt idx="2">
                  <c:v>100</c:v>
                </c:pt>
                <c:pt idx="3">
                  <c:v>150</c:v>
                </c:pt>
                <c:pt idx="4">
                  <c:v>200</c:v>
                </c:pt>
                <c:pt idx="5">
                  <c:v>250</c:v>
                </c:pt>
                <c:pt idx="6">
                  <c:v>300</c:v>
                </c:pt>
                <c:pt idx="7">
                  <c:v>350</c:v>
                </c:pt>
                <c:pt idx="8">
                  <c:v>400</c:v>
                </c:pt>
                <c:pt idx="9">
                  <c:v>450</c:v>
                </c:pt>
                <c:pt idx="10">
                  <c:v>500</c:v>
                </c:pt>
                <c:pt idx="11">
                  <c:v>550</c:v>
                </c:pt>
                <c:pt idx="12">
                  <c:v>600</c:v>
                </c:pt>
                <c:pt idx="13">
                  <c:v>650</c:v>
                </c:pt>
                <c:pt idx="14">
                  <c:v>700</c:v>
                </c:pt>
                <c:pt idx="15">
                  <c:v>750</c:v>
                </c:pt>
                <c:pt idx="16">
                  <c:v>800</c:v>
                </c:pt>
                <c:pt idx="17">
                  <c:v>850</c:v>
                </c:pt>
                <c:pt idx="18">
                  <c:v>900</c:v>
                </c:pt>
                <c:pt idx="19">
                  <c:v>950</c:v>
                </c:pt>
                <c:pt idx="20">
                  <c:v>1000</c:v>
                </c:pt>
                <c:pt idx="21">
                  <c:v>1050</c:v>
                </c:pt>
                <c:pt idx="22">
                  <c:v>1100</c:v>
                </c:pt>
                <c:pt idx="23">
                  <c:v>1150</c:v>
                </c:pt>
                <c:pt idx="24">
                  <c:v>1200</c:v>
                </c:pt>
                <c:pt idx="25">
                  <c:v>1250</c:v>
                </c:pt>
              </c:numCache>
            </c:numRef>
          </c:cat>
          <c:val>
            <c:numRef>
              <c:f>'DATA - MW = 18.85 (Sp Gr= 0.65)'!$I$8:$I$33</c:f>
              <c:numCache>
                <c:formatCode>General</c:formatCode>
                <c:ptCount val="26"/>
                <c:pt idx="0">
                  <c:v>1</c:v>
                </c:pt>
                <c:pt idx="1">
                  <c:v>0.98819999999999997</c:v>
                </c:pt>
                <c:pt idx="2">
                  <c:v>0.97899999999999998</c:v>
                </c:pt>
                <c:pt idx="3">
                  <c:v>0.97299999999999998</c:v>
                </c:pt>
                <c:pt idx="4">
                  <c:v>0.96489999999999998</c:v>
                </c:pt>
                <c:pt idx="5">
                  <c:v>0.95849999999999991</c:v>
                </c:pt>
                <c:pt idx="6">
                  <c:v>0.9504999999999999</c:v>
                </c:pt>
                <c:pt idx="7">
                  <c:v>0.94339999999999991</c:v>
                </c:pt>
                <c:pt idx="8">
                  <c:v>0.93669999999999998</c:v>
                </c:pt>
                <c:pt idx="9">
                  <c:v>0.93240000000000001</c:v>
                </c:pt>
                <c:pt idx="10">
                  <c:v>0.92500000000000004</c:v>
                </c:pt>
                <c:pt idx="11">
                  <c:v>0.91749999999999998</c:v>
                </c:pt>
                <c:pt idx="12">
                  <c:v>0.91170000000000007</c:v>
                </c:pt>
                <c:pt idx="13">
                  <c:v>0.90529999999999999</c:v>
                </c:pt>
                <c:pt idx="14">
                  <c:v>0.8972</c:v>
                </c:pt>
                <c:pt idx="15">
                  <c:v>0.89080000000000004</c:v>
                </c:pt>
                <c:pt idx="16">
                  <c:v>0.8831</c:v>
                </c:pt>
                <c:pt idx="17">
                  <c:v>0.87629999999999997</c:v>
                </c:pt>
                <c:pt idx="18">
                  <c:v>0.87160000000000004</c:v>
                </c:pt>
                <c:pt idx="19">
                  <c:v>0.8659</c:v>
                </c:pt>
                <c:pt idx="20">
                  <c:v>0.85850000000000004</c:v>
                </c:pt>
                <c:pt idx="21">
                  <c:v>0.85070000000000001</c:v>
                </c:pt>
                <c:pt idx="22">
                  <c:v>0.84360000000000002</c:v>
                </c:pt>
                <c:pt idx="23">
                  <c:v>0.83789999999999998</c:v>
                </c:pt>
                <c:pt idx="24">
                  <c:v>0.83360000000000001</c:v>
                </c:pt>
                <c:pt idx="25">
                  <c:v>0.82850000000000001</c:v>
                </c:pt>
              </c:numCache>
            </c:numRef>
          </c:val>
        </c:ser>
        <c:ser>
          <c:idx val="6"/>
          <c:order val="6"/>
          <c:tx>
            <c:v>T = 110</c:v>
          </c:tx>
          <c:spPr>
            <a:ln w="12700">
              <a:solidFill>
                <a:srgbClr val="008080"/>
              </a:solidFill>
              <a:prstDash val="solid"/>
            </a:ln>
          </c:spPr>
          <c:marker>
            <c:symbol val="plus"/>
            <c:size val="5"/>
            <c:spPr>
              <a:noFill/>
              <a:ln>
                <a:solidFill>
                  <a:srgbClr val="008080"/>
                </a:solidFill>
                <a:prstDash val="solid"/>
              </a:ln>
            </c:spPr>
          </c:marker>
          <c:trendline>
            <c:spPr>
              <a:ln w="25400">
                <a:solidFill>
                  <a:srgbClr val="000000"/>
                </a:solidFill>
                <a:prstDash val="solid"/>
              </a:ln>
            </c:spPr>
            <c:trendlineType val="poly"/>
            <c:order val="3"/>
          </c:trendline>
          <c:cat>
            <c:numRef>
              <c:f>'DATA - MW = 18.85 (Sp Gr= 0.65)'!$A$8:$A$33</c:f>
              <c:numCache>
                <c:formatCode>General</c:formatCode>
                <c:ptCount val="26"/>
                <c:pt idx="0">
                  <c:v>0</c:v>
                </c:pt>
                <c:pt idx="1">
                  <c:v>50</c:v>
                </c:pt>
                <c:pt idx="2">
                  <c:v>100</c:v>
                </c:pt>
                <c:pt idx="3">
                  <c:v>150</c:v>
                </c:pt>
                <c:pt idx="4">
                  <c:v>200</c:v>
                </c:pt>
                <c:pt idx="5">
                  <c:v>250</c:v>
                </c:pt>
                <c:pt idx="6">
                  <c:v>300</c:v>
                </c:pt>
                <c:pt idx="7">
                  <c:v>350</c:v>
                </c:pt>
                <c:pt idx="8">
                  <c:v>400</c:v>
                </c:pt>
                <c:pt idx="9">
                  <c:v>450</c:v>
                </c:pt>
                <c:pt idx="10">
                  <c:v>500</c:v>
                </c:pt>
                <c:pt idx="11">
                  <c:v>550</c:v>
                </c:pt>
                <c:pt idx="12">
                  <c:v>600</c:v>
                </c:pt>
                <c:pt idx="13">
                  <c:v>650</c:v>
                </c:pt>
                <c:pt idx="14">
                  <c:v>700</c:v>
                </c:pt>
                <c:pt idx="15">
                  <c:v>750</c:v>
                </c:pt>
                <c:pt idx="16">
                  <c:v>800</c:v>
                </c:pt>
                <c:pt idx="17">
                  <c:v>850</c:v>
                </c:pt>
                <c:pt idx="18">
                  <c:v>900</c:v>
                </c:pt>
                <c:pt idx="19">
                  <c:v>950</c:v>
                </c:pt>
                <c:pt idx="20">
                  <c:v>1000</c:v>
                </c:pt>
                <c:pt idx="21">
                  <c:v>1050</c:v>
                </c:pt>
                <c:pt idx="22">
                  <c:v>1100</c:v>
                </c:pt>
                <c:pt idx="23">
                  <c:v>1150</c:v>
                </c:pt>
                <c:pt idx="24">
                  <c:v>1200</c:v>
                </c:pt>
                <c:pt idx="25">
                  <c:v>1250</c:v>
                </c:pt>
              </c:numCache>
            </c:numRef>
          </c:cat>
          <c:val>
            <c:numRef>
              <c:f>'DATA - MW = 18.85 (Sp Gr= 0.65)'!$J$8:$J$33</c:f>
              <c:numCache>
                <c:formatCode>General</c:formatCode>
                <c:ptCount val="26"/>
                <c:pt idx="0">
                  <c:v>1</c:v>
                </c:pt>
                <c:pt idx="1">
                  <c:v>0.98780000000000001</c:v>
                </c:pt>
                <c:pt idx="2">
                  <c:v>0.97799999999999998</c:v>
                </c:pt>
                <c:pt idx="3">
                  <c:v>0.97199999999999998</c:v>
                </c:pt>
                <c:pt idx="4">
                  <c:v>0.96360000000000001</c:v>
                </c:pt>
                <c:pt idx="5">
                  <c:v>0.95699999999999996</c:v>
                </c:pt>
                <c:pt idx="6">
                  <c:v>0.94899999999999995</c:v>
                </c:pt>
                <c:pt idx="7">
                  <c:v>0.94159999999999999</c:v>
                </c:pt>
                <c:pt idx="8">
                  <c:v>0.93480000000000008</c:v>
                </c:pt>
                <c:pt idx="9">
                  <c:v>0.93059999999999998</c:v>
                </c:pt>
                <c:pt idx="10">
                  <c:v>0.92300000000000004</c:v>
                </c:pt>
                <c:pt idx="11">
                  <c:v>0.91500000000000004</c:v>
                </c:pt>
                <c:pt idx="12">
                  <c:v>0.90880000000000005</c:v>
                </c:pt>
                <c:pt idx="13">
                  <c:v>0.9022</c:v>
                </c:pt>
                <c:pt idx="14">
                  <c:v>0.89380000000000004</c:v>
                </c:pt>
                <c:pt idx="15">
                  <c:v>0.88719999999999999</c:v>
                </c:pt>
                <c:pt idx="16">
                  <c:v>0.87939999999999996</c:v>
                </c:pt>
                <c:pt idx="17">
                  <c:v>0.87219999999999998</c:v>
                </c:pt>
                <c:pt idx="18">
                  <c:v>0.86739999999999995</c:v>
                </c:pt>
                <c:pt idx="19">
                  <c:v>0.86160000000000003</c:v>
                </c:pt>
                <c:pt idx="20">
                  <c:v>0.85399999999999998</c:v>
                </c:pt>
                <c:pt idx="21">
                  <c:v>0.8458</c:v>
                </c:pt>
                <c:pt idx="22">
                  <c:v>0.83839999999999992</c:v>
                </c:pt>
                <c:pt idx="23">
                  <c:v>0.83260000000000001</c:v>
                </c:pt>
                <c:pt idx="24">
                  <c:v>0.82839999999999991</c:v>
                </c:pt>
                <c:pt idx="25">
                  <c:v>0.82300000000000006</c:v>
                </c:pt>
              </c:numCache>
            </c:numRef>
          </c:val>
        </c:ser>
        <c:ser>
          <c:idx val="7"/>
          <c:order val="7"/>
          <c:tx>
            <c:v>T = 105</c:v>
          </c:tx>
          <c:spPr>
            <a:ln w="12700">
              <a:solidFill>
                <a:srgbClr val="0000FF"/>
              </a:solidFill>
              <a:prstDash val="solid"/>
            </a:ln>
          </c:spPr>
          <c:marker>
            <c:symbol val="dot"/>
            <c:size val="5"/>
            <c:spPr>
              <a:noFill/>
              <a:ln>
                <a:solidFill>
                  <a:srgbClr val="0000FF"/>
                </a:solidFill>
                <a:prstDash val="solid"/>
              </a:ln>
            </c:spPr>
          </c:marker>
          <c:trendline>
            <c:spPr>
              <a:ln w="25400">
                <a:solidFill>
                  <a:srgbClr val="000000"/>
                </a:solidFill>
                <a:prstDash val="solid"/>
              </a:ln>
            </c:spPr>
            <c:trendlineType val="poly"/>
            <c:order val="3"/>
          </c:trendline>
          <c:cat>
            <c:numRef>
              <c:f>'DATA - MW = 18.85 (Sp Gr= 0.65)'!$A$8:$A$33</c:f>
              <c:numCache>
                <c:formatCode>General</c:formatCode>
                <c:ptCount val="26"/>
                <c:pt idx="0">
                  <c:v>0</c:v>
                </c:pt>
                <c:pt idx="1">
                  <c:v>50</c:v>
                </c:pt>
                <c:pt idx="2">
                  <c:v>100</c:v>
                </c:pt>
                <c:pt idx="3">
                  <c:v>150</c:v>
                </c:pt>
                <c:pt idx="4">
                  <c:v>200</c:v>
                </c:pt>
                <c:pt idx="5">
                  <c:v>250</c:v>
                </c:pt>
                <c:pt idx="6">
                  <c:v>300</c:v>
                </c:pt>
                <c:pt idx="7">
                  <c:v>350</c:v>
                </c:pt>
                <c:pt idx="8">
                  <c:v>400</c:v>
                </c:pt>
                <c:pt idx="9">
                  <c:v>450</c:v>
                </c:pt>
                <c:pt idx="10">
                  <c:v>500</c:v>
                </c:pt>
                <c:pt idx="11">
                  <c:v>550</c:v>
                </c:pt>
                <c:pt idx="12">
                  <c:v>600</c:v>
                </c:pt>
                <c:pt idx="13">
                  <c:v>650</c:v>
                </c:pt>
                <c:pt idx="14">
                  <c:v>700</c:v>
                </c:pt>
                <c:pt idx="15">
                  <c:v>750</c:v>
                </c:pt>
                <c:pt idx="16">
                  <c:v>800</c:v>
                </c:pt>
                <c:pt idx="17">
                  <c:v>850</c:v>
                </c:pt>
                <c:pt idx="18">
                  <c:v>900</c:v>
                </c:pt>
                <c:pt idx="19">
                  <c:v>950</c:v>
                </c:pt>
                <c:pt idx="20">
                  <c:v>1000</c:v>
                </c:pt>
                <c:pt idx="21">
                  <c:v>1050</c:v>
                </c:pt>
                <c:pt idx="22">
                  <c:v>1100</c:v>
                </c:pt>
                <c:pt idx="23">
                  <c:v>1150</c:v>
                </c:pt>
                <c:pt idx="24">
                  <c:v>1200</c:v>
                </c:pt>
                <c:pt idx="25">
                  <c:v>1250</c:v>
                </c:pt>
              </c:numCache>
            </c:numRef>
          </c:cat>
          <c:val>
            <c:numRef>
              <c:f>'DATA - MW = 18.85 (Sp Gr= 0.65)'!$K$8:$K$33</c:f>
              <c:numCache>
                <c:formatCode>General</c:formatCode>
                <c:ptCount val="26"/>
                <c:pt idx="0">
                  <c:v>1</c:v>
                </c:pt>
                <c:pt idx="1">
                  <c:v>0.98739999999999994</c:v>
                </c:pt>
                <c:pt idx="2">
                  <c:v>0.97699999999999998</c:v>
                </c:pt>
                <c:pt idx="3">
                  <c:v>0.97099999999999997</c:v>
                </c:pt>
                <c:pt idx="4">
                  <c:v>0.96229999999999993</c:v>
                </c:pt>
                <c:pt idx="5">
                  <c:v>0.95550000000000002</c:v>
                </c:pt>
                <c:pt idx="6">
                  <c:v>0.94750000000000001</c:v>
                </c:pt>
                <c:pt idx="7">
                  <c:v>0.93979999999999997</c:v>
                </c:pt>
                <c:pt idx="8">
                  <c:v>0.93290000000000006</c:v>
                </c:pt>
                <c:pt idx="9">
                  <c:v>0.92880000000000007</c:v>
                </c:pt>
                <c:pt idx="10">
                  <c:v>0.92100000000000004</c:v>
                </c:pt>
                <c:pt idx="11">
                  <c:v>0.91250000000000009</c:v>
                </c:pt>
                <c:pt idx="12">
                  <c:v>0.90590000000000004</c:v>
                </c:pt>
                <c:pt idx="13">
                  <c:v>0.89910000000000001</c:v>
                </c:pt>
                <c:pt idx="14">
                  <c:v>0.89039999999999997</c:v>
                </c:pt>
                <c:pt idx="15">
                  <c:v>0.88360000000000005</c:v>
                </c:pt>
                <c:pt idx="16">
                  <c:v>0.87570000000000003</c:v>
                </c:pt>
                <c:pt idx="17">
                  <c:v>0.86809999999999998</c:v>
                </c:pt>
                <c:pt idx="18">
                  <c:v>0.86319999999999997</c:v>
                </c:pt>
                <c:pt idx="19">
                  <c:v>0.85729999999999995</c:v>
                </c:pt>
                <c:pt idx="20">
                  <c:v>0.84949999999999992</c:v>
                </c:pt>
                <c:pt idx="21">
                  <c:v>0.84089999999999998</c:v>
                </c:pt>
                <c:pt idx="22">
                  <c:v>0.83319999999999994</c:v>
                </c:pt>
                <c:pt idx="23">
                  <c:v>0.82729999999999992</c:v>
                </c:pt>
                <c:pt idx="24">
                  <c:v>0.82319999999999993</c:v>
                </c:pt>
                <c:pt idx="25">
                  <c:v>0.8175</c:v>
                </c:pt>
              </c:numCache>
            </c:numRef>
          </c:val>
        </c:ser>
        <c:ser>
          <c:idx val="8"/>
          <c:order val="8"/>
          <c:tx>
            <c:v>T = 95</c:v>
          </c:tx>
          <c:spPr>
            <a:ln w="12700">
              <a:solidFill>
                <a:srgbClr val="00CCFF"/>
              </a:solidFill>
              <a:prstDash val="solid"/>
            </a:ln>
          </c:spPr>
          <c:marker>
            <c:symbol val="dash"/>
            <c:size val="5"/>
            <c:spPr>
              <a:noFill/>
              <a:ln>
                <a:solidFill>
                  <a:srgbClr val="00CCFF"/>
                </a:solidFill>
                <a:prstDash val="solid"/>
              </a:ln>
            </c:spPr>
          </c:marker>
          <c:trendline>
            <c:spPr>
              <a:ln w="25400">
                <a:solidFill>
                  <a:srgbClr val="000000"/>
                </a:solidFill>
                <a:prstDash val="solid"/>
              </a:ln>
            </c:spPr>
            <c:trendlineType val="poly"/>
            <c:order val="3"/>
          </c:trendline>
          <c:cat>
            <c:numRef>
              <c:f>'DATA - MW = 18.85 (Sp Gr= 0.65)'!$A$8:$A$33</c:f>
              <c:numCache>
                <c:formatCode>General</c:formatCode>
                <c:ptCount val="26"/>
                <c:pt idx="0">
                  <c:v>0</c:v>
                </c:pt>
                <c:pt idx="1">
                  <c:v>50</c:v>
                </c:pt>
                <c:pt idx="2">
                  <c:v>100</c:v>
                </c:pt>
                <c:pt idx="3">
                  <c:v>150</c:v>
                </c:pt>
                <c:pt idx="4">
                  <c:v>200</c:v>
                </c:pt>
                <c:pt idx="5">
                  <c:v>250</c:v>
                </c:pt>
                <c:pt idx="6">
                  <c:v>300</c:v>
                </c:pt>
                <c:pt idx="7">
                  <c:v>350</c:v>
                </c:pt>
                <c:pt idx="8">
                  <c:v>400</c:v>
                </c:pt>
                <c:pt idx="9">
                  <c:v>450</c:v>
                </c:pt>
                <c:pt idx="10">
                  <c:v>500</c:v>
                </c:pt>
                <c:pt idx="11">
                  <c:v>550</c:v>
                </c:pt>
                <c:pt idx="12">
                  <c:v>600</c:v>
                </c:pt>
                <c:pt idx="13">
                  <c:v>650</c:v>
                </c:pt>
                <c:pt idx="14">
                  <c:v>700</c:v>
                </c:pt>
                <c:pt idx="15">
                  <c:v>750</c:v>
                </c:pt>
                <c:pt idx="16">
                  <c:v>800</c:v>
                </c:pt>
                <c:pt idx="17">
                  <c:v>850</c:v>
                </c:pt>
                <c:pt idx="18">
                  <c:v>900</c:v>
                </c:pt>
                <c:pt idx="19">
                  <c:v>950</c:v>
                </c:pt>
                <c:pt idx="20">
                  <c:v>1000</c:v>
                </c:pt>
                <c:pt idx="21">
                  <c:v>1050</c:v>
                </c:pt>
                <c:pt idx="22">
                  <c:v>1100</c:v>
                </c:pt>
                <c:pt idx="23">
                  <c:v>1150</c:v>
                </c:pt>
                <c:pt idx="24">
                  <c:v>1200</c:v>
                </c:pt>
                <c:pt idx="25">
                  <c:v>1250</c:v>
                </c:pt>
              </c:numCache>
            </c:numRef>
          </c:cat>
          <c:val>
            <c:numRef>
              <c:f>'DATA - MW = 18.85 (Sp Gr= 0.65)'!$M$8:$M$33</c:f>
              <c:numCache>
                <c:formatCode>General</c:formatCode>
                <c:ptCount val="26"/>
                <c:pt idx="0">
                  <c:v>1</c:v>
                </c:pt>
                <c:pt idx="1">
                  <c:v>0.98660000000000003</c:v>
                </c:pt>
                <c:pt idx="2">
                  <c:v>0.9758</c:v>
                </c:pt>
                <c:pt idx="3">
                  <c:v>0.9698</c:v>
                </c:pt>
                <c:pt idx="4">
                  <c:v>0.96060000000000001</c:v>
                </c:pt>
                <c:pt idx="5">
                  <c:v>0.95319999999999994</c:v>
                </c:pt>
                <c:pt idx="6">
                  <c:v>0.94479999999999997</c:v>
                </c:pt>
                <c:pt idx="7">
                  <c:v>0.93640000000000001</c:v>
                </c:pt>
                <c:pt idx="8">
                  <c:v>0.92960000000000009</c:v>
                </c:pt>
                <c:pt idx="9">
                  <c:v>0.92420000000000002</c:v>
                </c:pt>
                <c:pt idx="10">
                  <c:v>0.91660000000000008</c:v>
                </c:pt>
                <c:pt idx="11">
                  <c:v>0.90720000000000001</c:v>
                </c:pt>
                <c:pt idx="12">
                  <c:v>0.89960000000000007</c:v>
                </c:pt>
                <c:pt idx="13">
                  <c:v>0.89260000000000006</c:v>
                </c:pt>
                <c:pt idx="14">
                  <c:v>0.88319999999999999</c:v>
                </c:pt>
                <c:pt idx="15">
                  <c:v>0.876</c:v>
                </c:pt>
                <c:pt idx="16">
                  <c:v>0.86760000000000004</c:v>
                </c:pt>
                <c:pt idx="17">
                  <c:v>0.85899999999999999</c:v>
                </c:pt>
                <c:pt idx="18">
                  <c:v>0.85319999999999996</c:v>
                </c:pt>
                <c:pt idx="19">
                  <c:v>0.84639999999999993</c:v>
                </c:pt>
                <c:pt idx="20">
                  <c:v>0.83879999999999999</c:v>
                </c:pt>
                <c:pt idx="21">
                  <c:v>0.82979999999999998</c:v>
                </c:pt>
                <c:pt idx="22">
                  <c:v>0.8216</c:v>
                </c:pt>
                <c:pt idx="23">
                  <c:v>0.81519999999999992</c:v>
                </c:pt>
                <c:pt idx="24">
                  <c:v>0.81040000000000001</c:v>
                </c:pt>
                <c:pt idx="25">
                  <c:v>0.80360000000000009</c:v>
                </c:pt>
              </c:numCache>
            </c:numRef>
          </c:val>
        </c:ser>
        <c:ser>
          <c:idx val="9"/>
          <c:order val="9"/>
          <c:tx>
            <c:v>T = 90</c:v>
          </c:tx>
          <c:spPr>
            <a:ln w="12700">
              <a:solidFill>
                <a:srgbClr val="CCFFFF"/>
              </a:solidFill>
              <a:prstDash val="solid"/>
            </a:ln>
          </c:spPr>
          <c:marker>
            <c:symbol val="diamond"/>
            <c:size val="5"/>
            <c:spPr>
              <a:solidFill>
                <a:srgbClr val="CCFFFF"/>
              </a:solidFill>
              <a:ln>
                <a:solidFill>
                  <a:srgbClr val="CCFFFF"/>
                </a:solidFill>
                <a:prstDash val="solid"/>
              </a:ln>
            </c:spPr>
          </c:marker>
          <c:trendline>
            <c:spPr>
              <a:ln w="25400">
                <a:solidFill>
                  <a:srgbClr val="000000"/>
                </a:solidFill>
                <a:prstDash val="solid"/>
              </a:ln>
            </c:spPr>
            <c:trendlineType val="poly"/>
            <c:order val="3"/>
          </c:trendline>
          <c:cat>
            <c:numRef>
              <c:f>'DATA - MW = 18.85 (Sp Gr= 0.65)'!$A$8:$A$33</c:f>
              <c:numCache>
                <c:formatCode>General</c:formatCode>
                <c:ptCount val="26"/>
                <c:pt idx="0">
                  <c:v>0</c:v>
                </c:pt>
                <c:pt idx="1">
                  <c:v>50</c:v>
                </c:pt>
                <c:pt idx="2">
                  <c:v>100</c:v>
                </c:pt>
                <c:pt idx="3">
                  <c:v>150</c:v>
                </c:pt>
                <c:pt idx="4">
                  <c:v>200</c:v>
                </c:pt>
                <c:pt idx="5">
                  <c:v>250</c:v>
                </c:pt>
                <c:pt idx="6">
                  <c:v>300</c:v>
                </c:pt>
                <c:pt idx="7">
                  <c:v>350</c:v>
                </c:pt>
                <c:pt idx="8">
                  <c:v>400</c:v>
                </c:pt>
                <c:pt idx="9">
                  <c:v>450</c:v>
                </c:pt>
                <c:pt idx="10">
                  <c:v>500</c:v>
                </c:pt>
                <c:pt idx="11">
                  <c:v>550</c:v>
                </c:pt>
                <c:pt idx="12">
                  <c:v>600</c:v>
                </c:pt>
                <c:pt idx="13">
                  <c:v>650</c:v>
                </c:pt>
                <c:pt idx="14">
                  <c:v>700</c:v>
                </c:pt>
                <c:pt idx="15">
                  <c:v>750</c:v>
                </c:pt>
                <c:pt idx="16">
                  <c:v>800</c:v>
                </c:pt>
                <c:pt idx="17">
                  <c:v>850</c:v>
                </c:pt>
                <c:pt idx="18">
                  <c:v>900</c:v>
                </c:pt>
                <c:pt idx="19">
                  <c:v>950</c:v>
                </c:pt>
                <c:pt idx="20">
                  <c:v>1000</c:v>
                </c:pt>
                <c:pt idx="21">
                  <c:v>1050</c:v>
                </c:pt>
                <c:pt idx="22">
                  <c:v>1100</c:v>
                </c:pt>
                <c:pt idx="23">
                  <c:v>1150</c:v>
                </c:pt>
                <c:pt idx="24">
                  <c:v>1200</c:v>
                </c:pt>
                <c:pt idx="25">
                  <c:v>1250</c:v>
                </c:pt>
              </c:numCache>
            </c:numRef>
          </c:cat>
          <c:val>
            <c:numRef>
              <c:f>'DATA - MW = 18.85 (Sp Gr= 0.65)'!$N$8:$N$33</c:f>
              <c:numCache>
                <c:formatCode>General</c:formatCode>
                <c:ptCount val="26"/>
                <c:pt idx="0">
                  <c:v>1</c:v>
                </c:pt>
                <c:pt idx="1">
                  <c:v>0.98619999999999997</c:v>
                </c:pt>
                <c:pt idx="2">
                  <c:v>0.97560000000000002</c:v>
                </c:pt>
                <c:pt idx="3">
                  <c:v>0.96960000000000002</c:v>
                </c:pt>
                <c:pt idx="4">
                  <c:v>0.96019999999999994</c:v>
                </c:pt>
                <c:pt idx="5">
                  <c:v>0.95239999999999991</c:v>
                </c:pt>
                <c:pt idx="6">
                  <c:v>0.94359999999999999</c:v>
                </c:pt>
                <c:pt idx="7">
                  <c:v>0.93479999999999996</c:v>
                </c:pt>
                <c:pt idx="8">
                  <c:v>0.92820000000000003</c:v>
                </c:pt>
                <c:pt idx="9">
                  <c:v>0.9214</c:v>
                </c:pt>
                <c:pt idx="10">
                  <c:v>0.91420000000000001</c:v>
                </c:pt>
                <c:pt idx="11">
                  <c:v>0.90439999999999998</c:v>
                </c:pt>
                <c:pt idx="12">
                  <c:v>0.8962</c:v>
                </c:pt>
                <c:pt idx="13">
                  <c:v>0.88919999999999999</c:v>
                </c:pt>
                <c:pt idx="14">
                  <c:v>0.87939999999999996</c:v>
                </c:pt>
                <c:pt idx="15">
                  <c:v>0.872</c:v>
                </c:pt>
                <c:pt idx="16">
                  <c:v>0.86319999999999997</c:v>
                </c:pt>
                <c:pt idx="17">
                  <c:v>0.85399999999999998</c:v>
                </c:pt>
                <c:pt idx="18">
                  <c:v>0.84739999999999993</c:v>
                </c:pt>
                <c:pt idx="19">
                  <c:v>0.83979999999999999</c:v>
                </c:pt>
                <c:pt idx="20">
                  <c:v>0.83260000000000001</c:v>
                </c:pt>
                <c:pt idx="21">
                  <c:v>0.8236</c:v>
                </c:pt>
                <c:pt idx="22">
                  <c:v>0.81520000000000004</c:v>
                </c:pt>
                <c:pt idx="23">
                  <c:v>0.80840000000000001</c:v>
                </c:pt>
                <c:pt idx="24">
                  <c:v>0.80279999999999996</c:v>
                </c:pt>
                <c:pt idx="25">
                  <c:v>0.79520000000000002</c:v>
                </c:pt>
              </c:numCache>
            </c:numRef>
          </c:val>
        </c:ser>
        <c:ser>
          <c:idx val="10"/>
          <c:order val="10"/>
          <c:tx>
            <c:v>T = 85</c:v>
          </c:tx>
          <c:spPr>
            <a:ln w="12700">
              <a:solidFill>
                <a:srgbClr val="CCFFCC"/>
              </a:solidFill>
              <a:prstDash val="solid"/>
            </a:ln>
          </c:spPr>
          <c:marker>
            <c:symbol val="square"/>
            <c:size val="5"/>
            <c:spPr>
              <a:solidFill>
                <a:srgbClr val="CCFFCC"/>
              </a:solidFill>
              <a:ln>
                <a:solidFill>
                  <a:srgbClr val="CCFFCC"/>
                </a:solidFill>
                <a:prstDash val="solid"/>
              </a:ln>
            </c:spPr>
          </c:marker>
          <c:trendline>
            <c:spPr>
              <a:ln w="25400">
                <a:solidFill>
                  <a:srgbClr val="000000"/>
                </a:solidFill>
                <a:prstDash val="solid"/>
              </a:ln>
            </c:spPr>
            <c:trendlineType val="poly"/>
            <c:order val="3"/>
          </c:trendline>
          <c:cat>
            <c:numRef>
              <c:f>'DATA - MW = 18.85 (Sp Gr= 0.65)'!$A$8:$A$33</c:f>
              <c:numCache>
                <c:formatCode>General</c:formatCode>
                <c:ptCount val="26"/>
                <c:pt idx="0">
                  <c:v>0</c:v>
                </c:pt>
                <c:pt idx="1">
                  <c:v>50</c:v>
                </c:pt>
                <c:pt idx="2">
                  <c:v>100</c:v>
                </c:pt>
                <c:pt idx="3">
                  <c:v>150</c:v>
                </c:pt>
                <c:pt idx="4">
                  <c:v>200</c:v>
                </c:pt>
                <c:pt idx="5">
                  <c:v>250</c:v>
                </c:pt>
                <c:pt idx="6">
                  <c:v>300</c:v>
                </c:pt>
                <c:pt idx="7">
                  <c:v>350</c:v>
                </c:pt>
                <c:pt idx="8">
                  <c:v>400</c:v>
                </c:pt>
                <c:pt idx="9">
                  <c:v>450</c:v>
                </c:pt>
                <c:pt idx="10">
                  <c:v>500</c:v>
                </c:pt>
                <c:pt idx="11">
                  <c:v>550</c:v>
                </c:pt>
                <c:pt idx="12">
                  <c:v>600</c:v>
                </c:pt>
                <c:pt idx="13">
                  <c:v>650</c:v>
                </c:pt>
                <c:pt idx="14">
                  <c:v>700</c:v>
                </c:pt>
                <c:pt idx="15">
                  <c:v>750</c:v>
                </c:pt>
                <c:pt idx="16">
                  <c:v>800</c:v>
                </c:pt>
                <c:pt idx="17">
                  <c:v>850</c:v>
                </c:pt>
                <c:pt idx="18">
                  <c:v>900</c:v>
                </c:pt>
                <c:pt idx="19">
                  <c:v>950</c:v>
                </c:pt>
                <c:pt idx="20">
                  <c:v>1000</c:v>
                </c:pt>
                <c:pt idx="21">
                  <c:v>1050</c:v>
                </c:pt>
                <c:pt idx="22">
                  <c:v>1100</c:v>
                </c:pt>
                <c:pt idx="23">
                  <c:v>1150</c:v>
                </c:pt>
                <c:pt idx="24">
                  <c:v>1200</c:v>
                </c:pt>
                <c:pt idx="25">
                  <c:v>1250</c:v>
                </c:pt>
              </c:numCache>
            </c:numRef>
          </c:cat>
          <c:val>
            <c:numRef>
              <c:f>'DATA - MW = 18.85 (Sp Gr= 0.65)'!$O$8:$O$33</c:f>
              <c:numCache>
                <c:formatCode>General</c:formatCode>
                <c:ptCount val="26"/>
                <c:pt idx="0">
                  <c:v>1</c:v>
                </c:pt>
                <c:pt idx="1">
                  <c:v>0.98580000000000001</c:v>
                </c:pt>
                <c:pt idx="2">
                  <c:v>0.97539999999999993</c:v>
                </c:pt>
                <c:pt idx="3">
                  <c:v>0.96939999999999993</c:v>
                </c:pt>
                <c:pt idx="4">
                  <c:v>0.95979999999999999</c:v>
                </c:pt>
                <c:pt idx="5">
                  <c:v>0.9516</c:v>
                </c:pt>
                <c:pt idx="6">
                  <c:v>0.9423999999999999</c:v>
                </c:pt>
                <c:pt idx="7">
                  <c:v>0.93320000000000003</c:v>
                </c:pt>
                <c:pt idx="8">
                  <c:v>0.92680000000000007</c:v>
                </c:pt>
                <c:pt idx="9">
                  <c:v>0.91860000000000008</c:v>
                </c:pt>
                <c:pt idx="10">
                  <c:v>0.91180000000000005</c:v>
                </c:pt>
                <c:pt idx="11">
                  <c:v>0.90160000000000007</c:v>
                </c:pt>
                <c:pt idx="12">
                  <c:v>0.89280000000000004</c:v>
                </c:pt>
                <c:pt idx="13">
                  <c:v>0.88580000000000003</c:v>
                </c:pt>
                <c:pt idx="14">
                  <c:v>0.87560000000000004</c:v>
                </c:pt>
                <c:pt idx="15">
                  <c:v>0.86799999999999999</c:v>
                </c:pt>
                <c:pt idx="16">
                  <c:v>0.85880000000000001</c:v>
                </c:pt>
                <c:pt idx="17">
                  <c:v>0.84899999999999998</c:v>
                </c:pt>
                <c:pt idx="18">
                  <c:v>0.84160000000000001</c:v>
                </c:pt>
                <c:pt idx="19">
                  <c:v>0.83319999999999994</c:v>
                </c:pt>
                <c:pt idx="20">
                  <c:v>0.82639999999999991</c:v>
                </c:pt>
                <c:pt idx="21">
                  <c:v>0.81740000000000002</c:v>
                </c:pt>
                <c:pt idx="22">
                  <c:v>0.80879999999999996</c:v>
                </c:pt>
                <c:pt idx="23">
                  <c:v>0.80159999999999998</c:v>
                </c:pt>
                <c:pt idx="24">
                  <c:v>0.79520000000000002</c:v>
                </c:pt>
                <c:pt idx="25">
                  <c:v>0.78680000000000005</c:v>
                </c:pt>
              </c:numCache>
            </c:numRef>
          </c:val>
        </c:ser>
        <c:ser>
          <c:idx val="11"/>
          <c:order val="11"/>
          <c:tx>
            <c:v>T = 80</c:v>
          </c:tx>
          <c:spPr>
            <a:ln w="12700">
              <a:solidFill>
                <a:srgbClr val="FFFF99"/>
              </a:solidFill>
              <a:prstDash val="solid"/>
            </a:ln>
          </c:spPr>
          <c:marker>
            <c:symbol val="triangle"/>
            <c:size val="5"/>
            <c:spPr>
              <a:solidFill>
                <a:srgbClr val="FFFF99"/>
              </a:solidFill>
              <a:ln>
                <a:solidFill>
                  <a:srgbClr val="FFFF99"/>
                </a:solidFill>
                <a:prstDash val="solid"/>
              </a:ln>
            </c:spPr>
          </c:marker>
          <c:trendline>
            <c:spPr>
              <a:ln w="25400">
                <a:solidFill>
                  <a:srgbClr val="000000"/>
                </a:solidFill>
                <a:prstDash val="solid"/>
              </a:ln>
            </c:spPr>
            <c:trendlineType val="poly"/>
            <c:order val="3"/>
          </c:trendline>
          <c:cat>
            <c:numRef>
              <c:f>'DATA - MW = 18.85 (Sp Gr= 0.65)'!$A$8:$A$33</c:f>
              <c:numCache>
                <c:formatCode>General</c:formatCode>
                <c:ptCount val="26"/>
                <c:pt idx="0">
                  <c:v>0</c:v>
                </c:pt>
                <c:pt idx="1">
                  <c:v>50</c:v>
                </c:pt>
                <c:pt idx="2">
                  <c:v>100</c:v>
                </c:pt>
                <c:pt idx="3">
                  <c:v>150</c:v>
                </c:pt>
                <c:pt idx="4">
                  <c:v>200</c:v>
                </c:pt>
                <c:pt idx="5">
                  <c:v>250</c:v>
                </c:pt>
                <c:pt idx="6">
                  <c:v>300</c:v>
                </c:pt>
                <c:pt idx="7">
                  <c:v>350</c:v>
                </c:pt>
                <c:pt idx="8">
                  <c:v>400</c:v>
                </c:pt>
                <c:pt idx="9">
                  <c:v>450</c:v>
                </c:pt>
                <c:pt idx="10">
                  <c:v>500</c:v>
                </c:pt>
                <c:pt idx="11">
                  <c:v>550</c:v>
                </c:pt>
                <c:pt idx="12">
                  <c:v>600</c:v>
                </c:pt>
                <c:pt idx="13">
                  <c:v>650</c:v>
                </c:pt>
                <c:pt idx="14">
                  <c:v>700</c:v>
                </c:pt>
                <c:pt idx="15">
                  <c:v>750</c:v>
                </c:pt>
                <c:pt idx="16">
                  <c:v>800</c:v>
                </c:pt>
                <c:pt idx="17">
                  <c:v>850</c:v>
                </c:pt>
                <c:pt idx="18">
                  <c:v>900</c:v>
                </c:pt>
                <c:pt idx="19">
                  <c:v>950</c:v>
                </c:pt>
                <c:pt idx="20">
                  <c:v>1000</c:v>
                </c:pt>
                <c:pt idx="21">
                  <c:v>1050</c:v>
                </c:pt>
                <c:pt idx="22">
                  <c:v>1100</c:v>
                </c:pt>
                <c:pt idx="23">
                  <c:v>1150</c:v>
                </c:pt>
                <c:pt idx="24">
                  <c:v>1200</c:v>
                </c:pt>
                <c:pt idx="25">
                  <c:v>1250</c:v>
                </c:pt>
              </c:numCache>
            </c:numRef>
          </c:cat>
          <c:val>
            <c:numRef>
              <c:f>'DATA - MW = 18.85 (Sp Gr= 0.65)'!$P$8:$P$33</c:f>
              <c:numCache>
                <c:formatCode>General</c:formatCode>
                <c:ptCount val="26"/>
                <c:pt idx="0">
                  <c:v>1</c:v>
                </c:pt>
                <c:pt idx="1">
                  <c:v>0.98539999999999994</c:v>
                </c:pt>
                <c:pt idx="2">
                  <c:v>0.97519999999999996</c:v>
                </c:pt>
                <c:pt idx="3">
                  <c:v>0.96919999999999995</c:v>
                </c:pt>
                <c:pt idx="4">
                  <c:v>0.95939999999999992</c:v>
                </c:pt>
                <c:pt idx="5">
                  <c:v>0.95079999999999998</c:v>
                </c:pt>
                <c:pt idx="6">
                  <c:v>0.94119999999999993</c:v>
                </c:pt>
                <c:pt idx="7">
                  <c:v>0.93159999999999998</c:v>
                </c:pt>
                <c:pt idx="8">
                  <c:v>0.9254</c:v>
                </c:pt>
                <c:pt idx="9">
                  <c:v>0.91580000000000006</c:v>
                </c:pt>
                <c:pt idx="10">
                  <c:v>0.90939999999999999</c:v>
                </c:pt>
                <c:pt idx="11">
                  <c:v>0.89880000000000004</c:v>
                </c:pt>
                <c:pt idx="12">
                  <c:v>0.88939999999999997</c:v>
                </c:pt>
                <c:pt idx="13">
                  <c:v>0.88239999999999996</c:v>
                </c:pt>
                <c:pt idx="14">
                  <c:v>0.87180000000000002</c:v>
                </c:pt>
                <c:pt idx="15">
                  <c:v>0.86399999999999999</c:v>
                </c:pt>
                <c:pt idx="16">
                  <c:v>0.85439999999999994</c:v>
                </c:pt>
                <c:pt idx="17">
                  <c:v>0.84399999999999997</c:v>
                </c:pt>
                <c:pt idx="18">
                  <c:v>0.83579999999999999</c:v>
                </c:pt>
                <c:pt idx="19">
                  <c:v>0.8266</c:v>
                </c:pt>
                <c:pt idx="20">
                  <c:v>0.82019999999999993</c:v>
                </c:pt>
                <c:pt idx="21">
                  <c:v>0.81120000000000003</c:v>
                </c:pt>
                <c:pt idx="22">
                  <c:v>0.8024</c:v>
                </c:pt>
                <c:pt idx="23">
                  <c:v>0.79480000000000006</c:v>
                </c:pt>
                <c:pt idx="24">
                  <c:v>0.78759999999999997</c:v>
                </c:pt>
                <c:pt idx="25">
                  <c:v>0.77839999999999998</c:v>
                </c:pt>
              </c:numCache>
            </c:numRef>
          </c:val>
        </c:ser>
        <c:ser>
          <c:idx val="12"/>
          <c:order val="12"/>
          <c:tx>
            <c:v>T = 70</c:v>
          </c:tx>
          <c:spPr>
            <a:ln w="12700">
              <a:solidFill>
                <a:srgbClr val="99CCFF"/>
              </a:solidFill>
              <a:prstDash val="solid"/>
            </a:ln>
          </c:spPr>
          <c:marker>
            <c:symbol val="x"/>
            <c:size val="5"/>
            <c:spPr>
              <a:noFill/>
              <a:ln>
                <a:solidFill>
                  <a:srgbClr val="99CCFF"/>
                </a:solidFill>
                <a:prstDash val="solid"/>
              </a:ln>
            </c:spPr>
          </c:marker>
          <c:trendline>
            <c:spPr>
              <a:ln w="25400">
                <a:solidFill>
                  <a:srgbClr val="000000"/>
                </a:solidFill>
                <a:prstDash val="solid"/>
              </a:ln>
            </c:spPr>
            <c:trendlineType val="poly"/>
            <c:order val="3"/>
          </c:trendline>
          <c:cat>
            <c:numRef>
              <c:f>'DATA - MW = 18.85 (Sp Gr= 0.65)'!$A$8:$A$33</c:f>
              <c:numCache>
                <c:formatCode>General</c:formatCode>
                <c:ptCount val="26"/>
                <c:pt idx="0">
                  <c:v>0</c:v>
                </c:pt>
                <c:pt idx="1">
                  <c:v>50</c:v>
                </c:pt>
                <c:pt idx="2">
                  <c:v>100</c:v>
                </c:pt>
                <c:pt idx="3">
                  <c:v>150</c:v>
                </c:pt>
                <c:pt idx="4">
                  <c:v>200</c:v>
                </c:pt>
                <c:pt idx="5">
                  <c:v>250</c:v>
                </c:pt>
                <c:pt idx="6">
                  <c:v>300</c:v>
                </c:pt>
                <c:pt idx="7">
                  <c:v>350</c:v>
                </c:pt>
                <c:pt idx="8">
                  <c:v>400</c:v>
                </c:pt>
                <c:pt idx="9">
                  <c:v>450</c:v>
                </c:pt>
                <c:pt idx="10">
                  <c:v>500</c:v>
                </c:pt>
                <c:pt idx="11">
                  <c:v>550</c:v>
                </c:pt>
                <c:pt idx="12">
                  <c:v>600</c:v>
                </c:pt>
                <c:pt idx="13">
                  <c:v>650</c:v>
                </c:pt>
                <c:pt idx="14">
                  <c:v>700</c:v>
                </c:pt>
                <c:pt idx="15">
                  <c:v>750</c:v>
                </c:pt>
                <c:pt idx="16">
                  <c:v>800</c:v>
                </c:pt>
                <c:pt idx="17">
                  <c:v>850</c:v>
                </c:pt>
                <c:pt idx="18">
                  <c:v>900</c:v>
                </c:pt>
                <c:pt idx="19">
                  <c:v>950</c:v>
                </c:pt>
                <c:pt idx="20">
                  <c:v>1000</c:v>
                </c:pt>
                <c:pt idx="21">
                  <c:v>1050</c:v>
                </c:pt>
                <c:pt idx="22">
                  <c:v>1100</c:v>
                </c:pt>
                <c:pt idx="23">
                  <c:v>1150</c:v>
                </c:pt>
                <c:pt idx="24">
                  <c:v>1200</c:v>
                </c:pt>
                <c:pt idx="25">
                  <c:v>1250</c:v>
                </c:pt>
              </c:numCache>
            </c:numRef>
          </c:cat>
          <c:val>
            <c:numRef>
              <c:f>'DATA - MW = 18.85 (Sp Gr= 0.65)'!$R$8:$R$33</c:f>
              <c:numCache>
                <c:formatCode>General</c:formatCode>
                <c:ptCount val="26"/>
                <c:pt idx="0">
                  <c:v>1</c:v>
                </c:pt>
                <c:pt idx="1">
                  <c:v>0.98439999999999994</c:v>
                </c:pt>
                <c:pt idx="2">
                  <c:v>0.97499999999999998</c:v>
                </c:pt>
                <c:pt idx="3">
                  <c:v>0.96839999999999993</c:v>
                </c:pt>
                <c:pt idx="4">
                  <c:v>0.95839999999999992</c:v>
                </c:pt>
                <c:pt idx="5">
                  <c:v>0.94899999999999995</c:v>
                </c:pt>
                <c:pt idx="6">
                  <c:v>0.93899999999999995</c:v>
                </c:pt>
                <c:pt idx="7">
                  <c:v>0.92900000000000005</c:v>
                </c:pt>
                <c:pt idx="8">
                  <c:v>0.92200000000000004</c:v>
                </c:pt>
                <c:pt idx="9">
                  <c:v>0.91139999999999999</c:v>
                </c:pt>
                <c:pt idx="10">
                  <c:v>0.90480000000000005</c:v>
                </c:pt>
                <c:pt idx="11">
                  <c:v>0.89360000000000006</c:v>
                </c:pt>
                <c:pt idx="12">
                  <c:v>0.88300000000000001</c:v>
                </c:pt>
                <c:pt idx="13">
                  <c:v>0.87580000000000002</c:v>
                </c:pt>
                <c:pt idx="14">
                  <c:v>0.86480000000000001</c:v>
                </c:pt>
                <c:pt idx="15">
                  <c:v>0.85619999999999996</c:v>
                </c:pt>
                <c:pt idx="16">
                  <c:v>0.84599999999999997</c:v>
                </c:pt>
                <c:pt idx="17">
                  <c:v>0.83460000000000001</c:v>
                </c:pt>
                <c:pt idx="18">
                  <c:v>0.82519999999999993</c:v>
                </c:pt>
                <c:pt idx="19">
                  <c:v>0.81599999999999995</c:v>
                </c:pt>
                <c:pt idx="20">
                  <c:v>0.80819999999999992</c:v>
                </c:pt>
                <c:pt idx="21">
                  <c:v>0.7984</c:v>
                </c:pt>
                <c:pt idx="22">
                  <c:v>0.78900000000000003</c:v>
                </c:pt>
                <c:pt idx="23">
                  <c:v>0.78100000000000003</c:v>
                </c:pt>
                <c:pt idx="24">
                  <c:v>0.77300000000000002</c:v>
                </c:pt>
                <c:pt idx="25">
                  <c:v>0.76319999999999999</c:v>
                </c:pt>
              </c:numCache>
            </c:numRef>
          </c:val>
        </c:ser>
        <c:ser>
          <c:idx val="13"/>
          <c:order val="13"/>
          <c:tx>
            <c:v>T = 65</c:v>
          </c:tx>
          <c:spPr>
            <a:ln w="12700">
              <a:solidFill>
                <a:srgbClr val="FF99CC"/>
              </a:solidFill>
              <a:prstDash val="solid"/>
            </a:ln>
          </c:spPr>
          <c:marker>
            <c:symbol val="star"/>
            <c:size val="5"/>
            <c:spPr>
              <a:noFill/>
              <a:ln>
                <a:solidFill>
                  <a:srgbClr val="FF99CC"/>
                </a:solidFill>
                <a:prstDash val="solid"/>
              </a:ln>
            </c:spPr>
          </c:marker>
          <c:trendline>
            <c:spPr>
              <a:ln w="25400">
                <a:solidFill>
                  <a:srgbClr val="000000"/>
                </a:solidFill>
                <a:prstDash val="solid"/>
              </a:ln>
            </c:spPr>
            <c:trendlineType val="poly"/>
            <c:order val="3"/>
          </c:trendline>
          <c:cat>
            <c:numRef>
              <c:f>'DATA - MW = 18.85 (Sp Gr= 0.65)'!$A$8:$A$33</c:f>
              <c:numCache>
                <c:formatCode>General</c:formatCode>
                <c:ptCount val="26"/>
                <c:pt idx="0">
                  <c:v>0</c:v>
                </c:pt>
                <c:pt idx="1">
                  <c:v>50</c:v>
                </c:pt>
                <c:pt idx="2">
                  <c:v>100</c:v>
                </c:pt>
                <c:pt idx="3">
                  <c:v>150</c:v>
                </c:pt>
                <c:pt idx="4">
                  <c:v>200</c:v>
                </c:pt>
                <c:pt idx="5">
                  <c:v>250</c:v>
                </c:pt>
                <c:pt idx="6">
                  <c:v>300</c:v>
                </c:pt>
                <c:pt idx="7">
                  <c:v>350</c:v>
                </c:pt>
                <c:pt idx="8">
                  <c:v>400</c:v>
                </c:pt>
                <c:pt idx="9">
                  <c:v>450</c:v>
                </c:pt>
                <c:pt idx="10">
                  <c:v>500</c:v>
                </c:pt>
                <c:pt idx="11">
                  <c:v>550</c:v>
                </c:pt>
                <c:pt idx="12">
                  <c:v>600</c:v>
                </c:pt>
                <c:pt idx="13">
                  <c:v>650</c:v>
                </c:pt>
                <c:pt idx="14">
                  <c:v>700</c:v>
                </c:pt>
                <c:pt idx="15">
                  <c:v>750</c:v>
                </c:pt>
                <c:pt idx="16">
                  <c:v>800</c:v>
                </c:pt>
                <c:pt idx="17">
                  <c:v>850</c:v>
                </c:pt>
                <c:pt idx="18">
                  <c:v>900</c:v>
                </c:pt>
                <c:pt idx="19">
                  <c:v>950</c:v>
                </c:pt>
                <c:pt idx="20">
                  <c:v>1000</c:v>
                </c:pt>
                <c:pt idx="21">
                  <c:v>1050</c:v>
                </c:pt>
                <c:pt idx="22">
                  <c:v>1100</c:v>
                </c:pt>
                <c:pt idx="23">
                  <c:v>1150</c:v>
                </c:pt>
                <c:pt idx="24">
                  <c:v>1200</c:v>
                </c:pt>
                <c:pt idx="25">
                  <c:v>1250</c:v>
                </c:pt>
              </c:numCache>
            </c:numRef>
          </c:cat>
          <c:val>
            <c:numRef>
              <c:f>'DATA - MW = 18.85 (Sp Gr= 0.65)'!$S$8:$S$33</c:f>
              <c:numCache>
                <c:formatCode>General</c:formatCode>
                <c:ptCount val="26"/>
                <c:pt idx="0">
                  <c:v>1</c:v>
                </c:pt>
                <c:pt idx="1">
                  <c:v>0.98380000000000001</c:v>
                </c:pt>
                <c:pt idx="2">
                  <c:v>0.97499999999999998</c:v>
                </c:pt>
                <c:pt idx="3">
                  <c:v>0.96779999999999999</c:v>
                </c:pt>
                <c:pt idx="4">
                  <c:v>0.95779999999999998</c:v>
                </c:pt>
                <c:pt idx="5">
                  <c:v>0.94799999999999995</c:v>
                </c:pt>
                <c:pt idx="6">
                  <c:v>0.93799999999999994</c:v>
                </c:pt>
                <c:pt idx="7">
                  <c:v>0.92800000000000005</c:v>
                </c:pt>
                <c:pt idx="8">
                  <c:v>0.92</c:v>
                </c:pt>
                <c:pt idx="9">
                  <c:v>0.90980000000000005</c:v>
                </c:pt>
                <c:pt idx="10">
                  <c:v>0.90260000000000007</c:v>
                </c:pt>
                <c:pt idx="11">
                  <c:v>0.89119999999999999</c:v>
                </c:pt>
                <c:pt idx="12">
                  <c:v>0.88</c:v>
                </c:pt>
                <c:pt idx="13">
                  <c:v>0.87260000000000004</c:v>
                </c:pt>
                <c:pt idx="14">
                  <c:v>0.86160000000000003</c:v>
                </c:pt>
                <c:pt idx="15">
                  <c:v>0.85239999999999994</c:v>
                </c:pt>
                <c:pt idx="16">
                  <c:v>0.84199999999999997</c:v>
                </c:pt>
                <c:pt idx="17">
                  <c:v>0.83019999999999994</c:v>
                </c:pt>
                <c:pt idx="18">
                  <c:v>0.82040000000000002</c:v>
                </c:pt>
                <c:pt idx="19">
                  <c:v>0.81199999999999994</c:v>
                </c:pt>
                <c:pt idx="20">
                  <c:v>0.8024</c:v>
                </c:pt>
                <c:pt idx="21">
                  <c:v>0.79180000000000006</c:v>
                </c:pt>
                <c:pt idx="22">
                  <c:v>0.78200000000000003</c:v>
                </c:pt>
                <c:pt idx="23">
                  <c:v>0.77400000000000002</c:v>
                </c:pt>
                <c:pt idx="24">
                  <c:v>0.76600000000000001</c:v>
                </c:pt>
                <c:pt idx="25">
                  <c:v>0.75639999999999996</c:v>
                </c:pt>
              </c:numCache>
            </c:numRef>
          </c:val>
        </c:ser>
        <c:ser>
          <c:idx val="14"/>
          <c:order val="14"/>
          <c:tx>
            <c:v>T = 60</c:v>
          </c:tx>
          <c:spPr>
            <a:ln w="12700">
              <a:solidFill>
                <a:srgbClr val="CC99FF"/>
              </a:solidFill>
              <a:prstDash val="solid"/>
            </a:ln>
          </c:spPr>
          <c:marker>
            <c:symbol val="circle"/>
            <c:size val="5"/>
            <c:spPr>
              <a:solidFill>
                <a:srgbClr val="CC99FF"/>
              </a:solidFill>
              <a:ln>
                <a:solidFill>
                  <a:srgbClr val="CC99FF"/>
                </a:solidFill>
                <a:prstDash val="solid"/>
              </a:ln>
            </c:spPr>
          </c:marker>
          <c:trendline>
            <c:spPr>
              <a:ln w="25400">
                <a:solidFill>
                  <a:srgbClr val="000000"/>
                </a:solidFill>
                <a:prstDash val="solid"/>
              </a:ln>
            </c:spPr>
            <c:trendlineType val="poly"/>
            <c:order val="3"/>
          </c:trendline>
          <c:cat>
            <c:numRef>
              <c:f>'DATA - MW = 18.85 (Sp Gr= 0.65)'!$A$8:$A$33</c:f>
              <c:numCache>
                <c:formatCode>General</c:formatCode>
                <c:ptCount val="26"/>
                <c:pt idx="0">
                  <c:v>0</c:v>
                </c:pt>
                <c:pt idx="1">
                  <c:v>50</c:v>
                </c:pt>
                <c:pt idx="2">
                  <c:v>100</c:v>
                </c:pt>
                <c:pt idx="3">
                  <c:v>150</c:v>
                </c:pt>
                <c:pt idx="4">
                  <c:v>200</c:v>
                </c:pt>
                <c:pt idx="5">
                  <c:v>250</c:v>
                </c:pt>
                <c:pt idx="6">
                  <c:v>300</c:v>
                </c:pt>
                <c:pt idx="7">
                  <c:v>350</c:v>
                </c:pt>
                <c:pt idx="8">
                  <c:v>400</c:v>
                </c:pt>
                <c:pt idx="9">
                  <c:v>450</c:v>
                </c:pt>
                <c:pt idx="10">
                  <c:v>500</c:v>
                </c:pt>
                <c:pt idx="11">
                  <c:v>550</c:v>
                </c:pt>
                <c:pt idx="12">
                  <c:v>600</c:v>
                </c:pt>
                <c:pt idx="13">
                  <c:v>650</c:v>
                </c:pt>
                <c:pt idx="14">
                  <c:v>700</c:v>
                </c:pt>
                <c:pt idx="15">
                  <c:v>750</c:v>
                </c:pt>
                <c:pt idx="16">
                  <c:v>800</c:v>
                </c:pt>
                <c:pt idx="17">
                  <c:v>850</c:v>
                </c:pt>
                <c:pt idx="18">
                  <c:v>900</c:v>
                </c:pt>
                <c:pt idx="19">
                  <c:v>950</c:v>
                </c:pt>
                <c:pt idx="20">
                  <c:v>1000</c:v>
                </c:pt>
                <c:pt idx="21">
                  <c:v>1050</c:v>
                </c:pt>
                <c:pt idx="22">
                  <c:v>1100</c:v>
                </c:pt>
                <c:pt idx="23">
                  <c:v>1150</c:v>
                </c:pt>
                <c:pt idx="24">
                  <c:v>1200</c:v>
                </c:pt>
                <c:pt idx="25">
                  <c:v>1250</c:v>
                </c:pt>
              </c:numCache>
            </c:numRef>
          </c:cat>
          <c:val>
            <c:numRef>
              <c:f>'DATA - MW = 18.85 (Sp Gr= 0.65)'!$T$8:$T$33</c:f>
              <c:numCache>
                <c:formatCode>General</c:formatCode>
                <c:ptCount val="26"/>
                <c:pt idx="0">
                  <c:v>1</c:v>
                </c:pt>
                <c:pt idx="1">
                  <c:v>0.98319999999999996</c:v>
                </c:pt>
                <c:pt idx="2">
                  <c:v>0.97499999999999998</c:v>
                </c:pt>
                <c:pt idx="3">
                  <c:v>0.96719999999999995</c:v>
                </c:pt>
                <c:pt idx="4">
                  <c:v>0.95719999999999994</c:v>
                </c:pt>
                <c:pt idx="5">
                  <c:v>0.94699999999999995</c:v>
                </c:pt>
                <c:pt idx="6">
                  <c:v>0.93700000000000006</c:v>
                </c:pt>
                <c:pt idx="7">
                  <c:v>0.92700000000000005</c:v>
                </c:pt>
                <c:pt idx="8">
                  <c:v>0.91800000000000004</c:v>
                </c:pt>
                <c:pt idx="9">
                  <c:v>0.90820000000000001</c:v>
                </c:pt>
                <c:pt idx="10">
                  <c:v>0.90039999999999998</c:v>
                </c:pt>
                <c:pt idx="11">
                  <c:v>0.88880000000000003</c:v>
                </c:pt>
                <c:pt idx="12">
                  <c:v>0.877</c:v>
                </c:pt>
                <c:pt idx="13">
                  <c:v>0.86939999999999995</c:v>
                </c:pt>
                <c:pt idx="14">
                  <c:v>0.85839999999999994</c:v>
                </c:pt>
                <c:pt idx="15">
                  <c:v>0.84860000000000002</c:v>
                </c:pt>
                <c:pt idx="16">
                  <c:v>0.83799999999999997</c:v>
                </c:pt>
                <c:pt idx="17">
                  <c:v>0.82579999999999998</c:v>
                </c:pt>
                <c:pt idx="18">
                  <c:v>0.81559999999999999</c:v>
                </c:pt>
                <c:pt idx="19">
                  <c:v>0.80800000000000005</c:v>
                </c:pt>
                <c:pt idx="20">
                  <c:v>0.79659999999999997</c:v>
                </c:pt>
                <c:pt idx="21">
                  <c:v>0.78520000000000001</c:v>
                </c:pt>
                <c:pt idx="22">
                  <c:v>0.77500000000000002</c:v>
                </c:pt>
                <c:pt idx="23">
                  <c:v>0.76700000000000002</c:v>
                </c:pt>
                <c:pt idx="24">
                  <c:v>0.75900000000000001</c:v>
                </c:pt>
                <c:pt idx="25">
                  <c:v>0.74960000000000004</c:v>
                </c:pt>
              </c:numCache>
            </c:numRef>
          </c:val>
        </c:ser>
        <c:ser>
          <c:idx val="15"/>
          <c:order val="15"/>
          <c:tx>
            <c:v>T = 55</c:v>
          </c:tx>
          <c:spPr>
            <a:ln w="12700">
              <a:solidFill>
                <a:srgbClr val="FFCC99"/>
              </a:solidFill>
              <a:prstDash val="solid"/>
            </a:ln>
          </c:spPr>
          <c:marker>
            <c:symbol val="plus"/>
            <c:size val="5"/>
            <c:spPr>
              <a:noFill/>
              <a:ln>
                <a:solidFill>
                  <a:srgbClr val="FFCC99"/>
                </a:solidFill>
                <a:prstDash val="solid"/>
              </a:ln>
            </c:spPr>
          </c:marker>
          <c:trendline>
            <c:spPr>
              <a:ln w="25400">
                <a:solidFill>
                  <a:srgbClr val="000000"/>
                </a:solidFill>
                <a:prstDash val="solid"/>
              </a:ln>
            </c:spPr>
            <c:trendlineType val="poly"/>
            <c:order val="3"/>
          </c:trendline>
          <c:cat>
            <c:numRef>
              <c:f>'DATA - MW = 18.85 (Sp Gr= 0.65)'!$A$8:$A$33</c:f>
              <c:numCache>
                <c:formatCode>General</c:formatCode>
                <c:ptCount val="26"/>
                <c:pt idx="0">
                  <c:v>0</c:v>
                </c:pt>
                <c:pt idx="1">
                  <c:v>50</c:v>
                </c:pt>
                <c:pt idx="2">
                  <c:v>100</c:v>
                </c:pt>
                <c:pt idx="3">
                  <c:v>150</c:v>
                </c:pt>
                <c:pt idx="4">
                  <c:v>200</c:v>
                </c:pt>
                <c:pt idx="5">
                  <c:v>250</c:v>
                </c:pt>
                <c:pt idx="6">
                  <c:v>300</c:v>
                </c:pt>
                <c:pt idx="7">
                  <c:v>350</c:v>
                </c:pt>
                <c:pt idx="8">
                  <c:v>400</c:v>
                </c:pt>
                <c:pt idx="9">
                  <c:v>450</c:v>
                </c:pt>
                <c:pt idx="10">
                  <c:v>500</c:v>
                </c:pt>
                <c:pt idx="11">
                  <c:v>550</c:v>
                </c:pt>
                <c:pt idx="12">
                  <c:v>600</c:v>
                </c:pt>
                <c:pt idx="13">
                  <c:v>650</c:v>
                </c:pt>
                <c:pt idx="14">
                  <c:v>700</c:v>
                </c:pt>
                <c:pt idx="15">
                  <c:v>750</c:v>
                </c:pt>
                <c:pt idx="16">
                  <c:v>800</c:v>
                </c:pt>
                <c:pt idx="17">
                  <c:v>850</c:v>
                </c:pt>
                <c:pt idx="18">
                  <c:v>900</c:v>
                </c:pt>
                <c:pt idx="19">
                  <c:v>950</c:v>
                </c:pt>
                <c:pt idx="20">
                  <c:v>1000</c:v>
                </c:pt>
                <c:pt idx="21">
                  <c:v>1050</c:v>
                </c:pt>
                <c:pt idx="22">
                  <c:v>1100</c:v>
                </c:pt>
                <c:pt idx="23">
                  <c:v>1150</c:v>
                </c:pt>
                <c:pt idx="24">
                  <c:v>1200</c:v>
                </c:pt>
                <c:pt idx="25">
                  <c:v>1250</c:v>
                </c:pt>
              </c:numCache>
            </c:numRef>
          </c:cat>
          <c:val>
            <c:numRef>
              <c:f>'DATA - MW = 18.85 (Sp Gr= 0.65)'!$U$8:$U$33</c:f>
              <c:numCache>
                <c:formatCode>General</c:formatCode>
                <c:ptCount val="26"/>
                <c:pt idx="0">
                  <c:v>1</c:v>
                </c:pt>
                <c:pt idx="1">
                  <c:v>0.98260000000000003</c:v>
                </c:pt>
                <c:pt idx="2">
                  <c:v>0.97499999999999998</c:v>
                </c:pt>
                <c:pt idx="3">
                  <c:v>0.96660000000000001</c:v>
                </c:pt>
                <c:pt idx="4">
                  <c:v>0.95660000000000001</c:v>
                </c:pt>
                <c:pt idx="5">
                  <c:v>0.94599999999999995</c:v>
                </c:pt>
                <c:pt idx="6">
                  <c:v>0.93600000000000005</c:v>
                </c:pt>
                <c:pt idx="7">
                  <c:v>0.92600000000000005</c:v>
                </c:pt>
                <c:pt idx="8">
                  <c:v>0.91600000000000004</c:v>
                </c:pt>
                <c:pt idx="9">
                  <c:v>0.90660000000000007</c:v>
                </c:pt>
                <c:pt idx="10">
                  <c:v>0.8982</c:v>
                </c:pt>
                <c:pt idx="11">
                  <c:v>0.88639999999999997</c:v>
                </c:pt>
                <c:pt idx="12">
                  <c:v>0.874</c:v>
                </c:pt>
                <c:pt idx="13">
                  <c:v>0.86619999999999997</c:v>
                </c:pt>
                <c:pt idx="14">
                  <c:v>0.85519999999999996</c:v>
                </c:pt>
                <c:pt idx="15">
                  <c:v>0.8448</c:v>
                </c:pt>
                <c:pt idx="16">
                  <c:v>0.83399999999999996</c:v>
                </c:pt>
                <c:pt idx="17">
                  <c:v>0.82139999999999991</c:v>
                </c:pt>
                <c:pt idx="18">
                  <c:v>0.81080000000000008</c:v>
                </c:pt>
                <c:pt idx="19">
                  <c:v>0.80400000000000005</c:v>
                </c:pt>
                <c:pt idx="20">
                  <c:v>0.79080000000000006</c:v>
                </c:pt>
                <c:pt idx="21">
                  <c:v>0.77860000000000007</c:v>
                </c:pt>
                <c:pt idx="22">
                  <c:v>0.76800000000000002</c:v>
                </c:pt>
                <c:pt idx="23">
                  <c:v>0.76</c:v>
                </c:pt>
                <c:pt idx="24">
                  <c:v>0.752</c:v>
                </c:pt>
                <c:pt idx="25">
                  <c:v>0.74280000000000002</c:v>
                </c:pt>
              </c:numCache>
            </c:numRef>
          </c:val>
        </c:ser>
        <c:ser>
          <c:idx val="16"/>
          <c:order val="16"/>
          <c:tx>
            <c:v>T = 45</c:v>
          </c:tx>
          <c:spPr>
            <a:ln w="12700">
              <a:solidFill>
                <a:srgbClr val="3366FF"/>
              </a:solidFill>
              <a:prstDash val="solid"/>
            </a:ln>
          </c:spPr>
          <c:marker>
            <c:symbol val="dot"/>
            <c:size val="5"/>
            <c:spPr>
              <a:noFill/>
              <a:ln>
                <a:solidFill>
                  <a:srgbClr val="3366FF"/>
                </a:solidFill>
                <a:prstDash val="solid"/>
              </a:ln>
            </c:spPr>
          </c:marker>
          <c:trendline>
            <c:spPr>
              <a:ln w="25400">
                <a:solidFill>
                  <a:srgbClr val="000000"/>
                </a:solidFill>
                <a:prstDash val="solid"/>
              </a:ln>
            </c:spPr>
            <c:trendlineType val="poly"/>
            <c:order val="3"/>
          </c:trendline>
          <c:cat>
            <c:numRef>
              <c:f>'DATA - MW = 18.85 (Sp Gr= 0.65)'!$A$8:$A$33</c:f>
              <c:numCache>
                <c:formatCode>General</c:formatCode>
                <c:ptCount val="26"/>
                <c:pt idx="0">
                  <c:v>0</c:v>
                </c:pt>
                <c:pt idx="1">
                  <c:v>50</c:v>
                </c:pt>
                <c:pt idx="2">
                  <c:v>100</c:v>
                </c:pt>
                <c:pt idx="3">
                  <c:v>150</c:v>
                </c:pt>
                <c:pt idx="4">
                  <c:v>200</c:v>
                </c:pt>
                <c:pt idx="5">
                  <c:v>250</c:v>
                </c:pt>
                <c:pt idx="6">
                  <c:v>300</c:v>
                </c:pt>
                <c:pt idx="7">
                  <c:v>350</c:v>
                </c:pt>
                <c:pt idx="8">
                  <c:v>400</c:v>
                </c:pt>
                <c:pt idx="9">
                  <c:v>450</c:v>
                </c:pt>
                <c:pt idx="10">
                  <c:v>500</c:v>
                </c:pt>
                <c:pt idx="11">
                  <c:v>550</c:v>
                </c:pt>
                <c:pt idx="12">
                  <c:v>600</c:v>
                </c:pt>
                <c:pt idx="13">
                  <c:v>650</c:v>
                </c:pt>
                <c:pt idx="14">
                  <c:v>700</c:v>
                </c:pt>
                <c:pt idx="15">
                  <c:v>750</c:v>
                </c:pt>
                <c:pt idx="16">
                  <c:v>800</c:v>
                </c:pt>
                <c:pt idx="17">
                  <c:v>850</c:v>
                </c:pt>
                <c:pt idx="18">
                  <c:v>900</c:v>
                </c:pt>
                <c:pt idx="19">
                  <c:v>950</c:v>
                </c:pt>
                <c:pt idx="20">
                  <c:v>1000</c:v>
                </c:pt>
                <c:pt idx="21">
                  <c:v>1050</c:v>
                </c:pt>
                <c:pt idx="22">
                  <c:v>1100</c:v>
                </c:pt>
                <c:pt idx="23">
                  <c:v>1150</c:v>
                </c:pt>
                <c:pt idx="24">
                  <c:v>1200</c:v>
                </c:pt>
                <c:pt idx="25">
                  <c:v>1250</c:v>
                </c:pt>
              </c:numCache>
            </c:numRef>
          </c:cat>
          <c:val>
            <c:numRef>
              <c:f>'DATA - MW = 18.85 (Sp Gr= 0.65)'!$W$8:$W$33</c:f>
              <c:numCache>
                <c:formatCode>General</c:formatCode>
                <c:ptCount val="26"/>
                <c:pt idx="0">
                  <c:v>1</c:v>
                </c:pt>
                <c:pt idx="1">
                  <c:v>0.98160000000000003</c:v>
                </c:pt>
                <c:pt idx="2">
                  <c:v>0.97299999999999998</c:v>
                </c:pt>
                <c:pt idx="3">
                  <c:v>0.96319999999999995</c:v>
                </c:pt>
                <c:pt idx="4">
                  <c:v>0.9526</c:v>
                </c:pt>
                <c:pt idx="5">
                  <c:v>0.94199999999999995</c:v>
                </c:pt>
                <c:pt idx="6">
                  <c:v>0.93100000000000005</c:v>
                </c:pt>
                <c:pt idx="7">
                  <c:v>0.92060000000000008</c:v>
                </c:pt>
                <c:pt idx="8">
                  <c:v>0.90900000000000003</c:v>
                </c:pt>
                <c:pt idx="9">
                  <c:v>0.8992</c:v>
                </c:pt>
                <c:pt idx="10">
                  <c:v>0.88980000000000004</c:v>
                </c:pt>
                <c:pt idx="11">
                  <c:v>0.87780000000000002</c:v>
                </c:pt>
                <c:pt idx="12">
                  <c:v>0.86399999999999999</c:v>
                </c:pt>
                <c:pt idx="13">
                  <c:v>0.8548</c:v>
                </c:pt>
                <c:pt idx="14">
                  <c:v>0.84399999999999997</c:v>
                </c:pt>
                <c:pt idx="15">
                  <c:v>0.83319999999999994</c:v>
                </c:pt>
                <c:pt idx="16">
                  <c:v>0.82179999999999997</c:v>
                </c:pt>
                <c:pt idx="17">
                  <c:v>0.80799999999999994</c:v>
                </c:pt>
                <c:pt idx="18">
                  <c:v>0.79660000000000009</c:v>
                </c:pt>
                <c:pt idx="19">
                  <c:v>0.79</c:v>
                </c:pt>
                <c:pt idx="20">
                  <c:v>0.77500000000000002</c:v>
                </c:pt>
                <c:pt idx="21">
                  <c:v>0.76160000000000005</c:v>
                </c:pt>
                <c:pt idx="22">
                  <c:v>0.75060000000000004</c:v>
                </c:pt>
                <c:pt idx="23">
                  <c:v>0.74239999999999995</c:v>
                </c:pt>
                <c:pt idx="24">
                  <c:v>0.73380000000000001</c:v>
                </c:pt>
                <c:pt idx="25">
                  <c:v>0.72399999999999998</c:v>
                </c:pt>
              </c:numCache>
            </c:numRef>
          </c:val>
        </c:ser>
        <c:ser>
          <c:idx val="17"/>
          <c:order val="17"/>
          <c:tx>
            <c:v>T = 40</c:v>
          </c:tx>
          <c:spPr>
            <a:ln w="12700">
              <a:solidFill>
                <a:srgbClr val="33CCCC"/>
              </a:solidFill>
              <a:prstDash val="solid"/>
            </a:ln>
          </c:spPr>
          <c:marker>
            <c:symbol val="dash"/>
            <c:size val="5"/>
            <c:spPr>
              <a:noFill/>
              <a:ln>
                <a:solidFill>
                  <a:srgbClr val="33CCCC"/>
                </a:solidFill>
                <a:prstDash val="solid"/>
              </a:ln>
            </c:spPr>
          </c:marker>
          <c:trendline>
            <c:spPr>
              <a:ln w="25400">
                <a:solidFill>
                  <a:srgbClr val="000000"/>
                </a:solidFill>
                <a:prstDash val="solid"/>
              </a:ln>
            </c:spPr>
            <c:trendlineType val="poly"/>
            <c:order val="3"/>
          </c:trendline>
          <c:cat>
            <c:numRef>
              <c:f>'DATA - MW = 18.85 (Sp Gr= 0.65)'!$A$8:$A$33</c:f>
              <c:numCache>
                <c:formatCode>General</c:formatCode>
                <c:ptCount val="26"/>
                <c:pt idx="0">
                  <c:v>0</c:v>
                </c:pt>
                <c:pt idx="1">
                  <c:v>50</c:v>
                </c:pt>
                <c:pt idx="2">
                  <c:v>100</c:v>
                </c:pt>
                <c:pt idx="3">
                  <c:v>150</c:v>
                </c:pt>
                <c:pt idx="4">
                  <c:v>200</c:v>
                </c:pt>
                <c:pt idx="5">
                  <c:v>250</c:v>
                </c:pt>
                <c:pt idx="6">
                  <c:v>300</c:v>
                </c:pt>
                <c:pt idx="7">
                  <c:v>350</c:v>
                </c:pt>
                <c:pt idx="8">
                  <c:v>400</c:v>
                </c:pt>
                <c:pt idx="9">
                  <c:v>450</c:v>
                </c:pt>
                <c:pt idx="10">
                  <c:v>500</c:v>
                </c:pt>
                <c:pt idx="11">
                  <c:v>550</c:v>
                </c:pt>
                <c:pt idx="12">
                  <c:v>600</c:v>
                </c:pt>
                <c:pt idx="13">
                  <c:v>650</c:v>
                </c:pt>
                <c:pt idx="14">
                  <c:v>700</c:v>
                </c:pt>
                <c:pt idx="15">
                  <c:v>750</c:v>
                </c:pt>
                <c:pt idx="16">
                  <c:v>800</c:v>
                </c:pt>
                <c:pt idx="17">
                  <c:v>850</c:v>
                </c:pt>
                <c:pt idx="18">
                  <c:v>900</c:v>
                </c:pt>
                <c:pt idx="19">
                  <c:v>950</c:v>
                </c:pt>
                <c:pt idx="20">
                  <c:v>1000</c:v>
                </c:pt>
                <c:pt idx="21">
                  <c:v>1050</c:v>
                </c:pt>
                <c:pt idx="22">
                  <c:v>1100</c:v>
                </c:pt>
                <c:pt idx="23">
                  <c:v>1150</c:v>
                </c:pt>
                <c:pt idx="24">
                  <c:v>1200</c:v>
                </c:pt>
                <c:pt idx="25">
                  <c:v>1250</c:v>
                </c:pt>
              </c:numCache>
            </c:numRef>
          </c:cat>
          <c:val>
            <c:numRef>
              <c:f>'DATA - MW = 18.85 (Sp Gr= 0.65)'!$X$8:$X$33</c:f>
              <c:numCache>
                <c:formatCode>General</c:formatCode>
                <c:ptCount val="26"/>
                <c:pt idx="0">
                  <c:v>1</c:v>
                </c:pt>
                <c:pt idx="1">
                  <c:v>0.98119999999999996</c:v>
                </c:pt>
                <c:pt idx="2">
                  <c:v>0.97099999999999997</c:v>
                </c:pt>
                <c:pt idx="3">
                  <c:v>0.96039999999999992</c:v>
                </c:pt>
                <c:pt idx="4">
                  <c:v>0.94919999999999993</c:v>
                </c:pt>
                <c:pt idx="5">
                  <c:v>0.93899999999999995</c:v>
                </c:pt>
                <c:pt idx="6">
                  <c:v>0.92700000000000005</c:v>
                </c:pt>
                <c:pt idx="7">
                  <c:v>0.91620000000000001</c:v>
                </c:pt>
                <c:pt idx="8">
                  <c:v>0.90400000000000003</c:v>
                </c:pt>
                <c:pt idx="9">
                  <c:v>0.89339999999999997</c:v>
                </c:pt>
                <c:pt idx="10">
                  <c:v>0.88360000000000005</c:v>
                </c:pt>
                <c:pt idx="11">
                  <c:v>0.87160000000000004</c:v>
                </c:pt>
                <c:pt idx="12">
                  <c:v>0.85699999999999998</c:v>
                </c:pt>
                <c:pt idx="13">
                  <c:v>0.84660000000000002</c:v>
                </c:pt>
                <c:pt idx="14">
                  <c:v>0.83599999999999997</c:v>
                </c:pt>
                <c:pt idx="15">
                  <c:v>0.82540000000000002</c:v>
                </c:pt>
                <c:pt idx="16">
                  <c:v>0.81359999999999999</c:v>
                </c:pt>
                <c:pt idx="17">
                  <c:v>0.79899999999999993</c:v>
                </c:pt>
                <c:pt idx="18">
                  <c:v>0.78720000000000001</c:v>
                </c:pt>
                <c:pt idx="19">
                  <c:v>0.78</c:v>
                </c:pt>
                <c:pt idx="20">
                  <c:v>0.76500000000000001</c:v>
                </c:pt>
                <c:pt idx="21">
                  <c:v>0.75119999999999998</c:v>
                </c:pt>
                <c:pt idx="22">
                  <c:v>0.74019999999999997</c:v>
                </c:pt>
                <c:pt idx="23">
                  <c:v>0.73180000000000001</c:v>
                </c:pt>
                <c:pt idx="24">
                  <c:v>0.72260000000000002</c:v>
                </c:pt>
                <c:pt idx="25">
                  <c:v>0.71199999999999997</c:v>
                </c:pt>
              </c:numCache>
            </c:numRef>
          </c:val>
        </c:ser>
        <c:ser>
          <c:idx val="18"/>
          <c:order val="18"/>
          <c:tx>
            <c:v>T = 35</c:v>
          </c:tx>
          <c:spPr>
            <a:ln w="12700">
              <a:solidFill>
                <a:srgbClr val="99CC00"/>
              </a:solidFill>
              <a:prstDash val="solid"/>
            </a:ln>
          </c:spPr>
          <c:marker>
            <c:symbol val="diamond"/>
            <c:size val="5"/>
            <c:spPr>
              <a:solidFill>
                <a:srgbClr val="99CC00"/>
              </a:solidFill>
              <a:ln>
                <a:solidFill>
                  <a:srgbClr val="99CC00"/>
                </a:solidFill>
                <a:prstDash val="solid"/>
              </a:ln>
            </c:spPr>
          </c:marker>
          <c:trendline>
            <c:spPr>
              <a:ln w="25400">
                <a:solidFill>
                  <a:srgbClr val="000000"/>
                </a:solidFill>
                <a:prstDash val="solid"/>
              </a:ln>
            </c:spPr>
            <c:trendlineType val="poly"/>
            <c:order val="3"/>
          </c:trendline>
          <c:cat>
            <c:numRef>
              <c:f>'DATA - MW = 18.85 (Sp Gr= 0.65)'!$A$8:$A$33</c:f>
              <c:numCache>
                <c:formatCode>General</c:formatCode>
                <c:ptCount val="26"/>
                <c:pt idx="0">
                  <c:v>0</c:v>
                </c:pt>
                <c:pt idx="1">
                  <c:v>50</c:v>
                </c:pt>
                <c:pt idx="2">
                  <c:v>100</c:v>
                </c:pt>
                <c:pt idx="3">
                  <c:v>150</c:v>
                </c:pt>
                <c:pt idx="4">
                  <c:v>200</c:v>
                </c:pt>
                <c:pt idx="5">
                  <c:v>250</c:v>
                </c:pt>
                <c:pt idx="6">
                  <c:v>300</c:v>
                </c:pt>
                <c:pt idx="7">
                  <c:v>350</c:v>
                </c:pt>
                <c:pt idx="8">
                  <c:v>400</c:v>
                </c:pt>
                <c:pt idx="9">
                  <c:v>450</c:v>
                </c:pt>
                <c:pt idx="10">
                  <c:v>500</c:v>
                </c:pt>
                <c:pt idx="11">
                  <c:v>550</c:v>
                </c:pt>
                <c:pt idx="12">
                  <c:v>600</c:v>
                </c:pt>
                <c:pt idx="13">
                  <c:v>650</c:v>
                </c:pt>
                <c:pt idx="14">
                  <c:v>700</c:v>
                </c:pt>
                <c:pt idx="15">
                  <c:v>750</c:v>
                </c:pt>
                <c:pt idx="16">
                  <c:v>800</c:v>
                </c:pt>
                <c:pt idx="17">
                  <c:v>850</c:v>
                </c:pt>
                <c:pt idx="18">
                  <c:v>900</c:v>
                </c:pt>
                <c:pt idx="19">
                  <c:v>950</c:v>
                </c:pt>
                <c:pt idx="20">
                  <c:v>1000</c:v>
                </c:pt>
                <c:pt idx="21">
                  <c:v>1050</c:v>
                </c:pt>
                <c:pt idx="22">
                  <c:v>1100</c:v>
                </c:pt>
                <c:pt idx="23">
                  <c:v>1150</c:v>
                </c:pt>
                <c:pt idx="24">
                  <c:v>1200</c:v>
                </c:pt>
                <c:pt idx="25">
                  <c:v>1250</c:v>
                </c:pt>
              </c:numCache>
            </c:numRef>
          </c:cat>
          <c:val>
            <c:numRef>
              <c:f>'DATA - MW = 18.85 (Sp Gr= 0.65)'!$Y$8:$Y$33</c:f>
              <c:numCache>
                <c:formatCode>General</c:formatCode>
                <c:ptCount val="26"/>
                <c:pt idx="0">
                  <c:v>1</c:v>
                </c:pt>
                <c:pt idx="1">
                  <c:v>0.98080000000000001</c:v>
                </c:pt>
                <c:pt idx="2">
                  <c:v>0.96899999999999997</c:v>
                </c:pt>
                <c:pt idx="3">
                  <c:v>0.95760000000000001</c:v>
                </c:pt>
                <c:pt idx="4">
                  <c:v>0.94579999999999997</c:v>
                </c:pt>
                <c:pt idx="5">
                  <c:v>0.93600000000000005</c:v>
                </c:pt>
                <c:pt idx="6">
                  <c:v>0.92300000000000004</c:v>
                </c:pt>
                <c:pt idx="7">
                  <c:v>0.91180000000000005</c:v>
                </c:pt>
                <c:pt idx="8">
                  <c:v>0.89900000000000002</c:v>
                </c:pt>
                <c:pt idx="9">
                  <c:v>0.88760000000000006</c:v>
                </c:pt>
                <c:pt idx="10">
                  <c:v>0.87739999999999996</c:v>
                </c:pt>
                <c:pt idx="11">
                  <c:v>0.86539999999999995</c:v>
                </c:pt>
                <c:pt idx="12">
                  <c:v>0.85</c:v>
                </c:pt>
                <c:pt idx="13">
                  <c:v>0.83839999999999992</c:v>
                </c:pt>
                <c:pt idx="14">
                  <c:v>0.82800000000000007</c:v>
                </c:pt>
                <c:pt idx="15">
                  <c:v>0.81759999999999999</c:v>
                </c:pt>
                <c:pt idx="16">
                  <c:v>0.8054</c:v>
                </c:pt>
                <c:pt idx="17">
                  <c:v>0.79</c:v>
                </c:pt>
                <c:pt idx="18">
                  <c:v>0.77780000000000005</c:v>
                </c:pt>
                <c:pt idx="19">
                  <c:v>0.77</c:v>
                </c:pt>
                <c:pt idx="20">
                  <c:v>0.755</c:v>
                </c:pt>
                <c:pt idx="21">
                  <c:v>0.74080000000000001</c:v>
                </c:pt>
                <c:pt idx="22">
                  <c:v>0.7298</c:v>
                </c:pt>
                <c:pt idx="23">
                  <c:v>0.72119999999999995</c:v>
                </c:pt>
                <c:pt idx="24">
                  <c:v>0.71139999999999992</c:v>
                </c:pt>
                <c:pt idx="25">
                  <c:v>0.70000000000000007</c:v>
                </c:pt>
              </c:numCache>
            </c:numRef>
          </c:val>
        </c:ser>
        <c:ser>
          <c:idx val="19"/>
          <c:order val="19"/>
          <c:tx>
            <c:v>T = 30</c:v>
          </c:tx>
          <c:spPr>
            <a:ln w="12700">
              <a:solidFill>
                <a:srgbClr val="FFCC00"/>
              </a:solidFill>
              <a:prstDash val="solid"/>
            </a:ln>
          </c:spPr>
          <c:marker>
            <c:symbol val="square"/>
            <c:size val="5"/>
            <c:spPr>
              <a:solidFill>
                <a:srgbClr val="FFCC00"/>
              </a:solidFill>
              <a:ln>
                <a:solidFill>
                  <a:srgbClr val="FFCC00"/>
                </a:solidFill>
                <a:prstDash val="solid"/>
              </a:ln>
            </c:spPr>
          </c:marker>
          <c:trendline>
            <c:spPr>
              <a:ln w="25400">
                <a:solidFill>
                  <a:srgbClr val="000000"/>
                </a:solidFill>
                <a:prstDash val="solid"/>
              </a:ln>
            </c:spPr>
            <c:trendlineType val="poly"/>
            <c:order val="3"/>
          </c:trendline>
          <c:cat>
            <c:numRef>
              <c:f>'DATA - MW = 18.85 (Sp Gr= 0.65)'!$A$8:$A$33</c:f>
              <c:numCache>
                <c:formatCode>General</c:formatCode>
                <c:ptCount val="26"/>
                <c:pt idx="0">
                  <c:v>0</c:v>
                </c:pt>
                <c:pt idx="1">
                  <c:v>50</c:v>
                </c:pt>
                <c:pt idx="2">
                  <c:v>100</c:v>
                </c:pt>
                <c:pt idx="3">
                  <c:v>150</c:v>
                </c:pt>
                <c:pt idx="4">
                  <c:v>200</c:v>
                </c:pt>
                <c:pt idx="5">
                  <c:v>250</c:v>
                </c:pt>
                <c:pt idx="6">
                  <c:v>300</c:v>
                </c:pt>
                <c:pt idx="7">
                  <c:v>350</c:v>
                </c:pt>
                <c:pt idx="8">
                  <c:v>400</c:v>
                </c:pt>
                <c:pt idx="9">
                  <c:v>450</c:v>
                </c:pt>
                <c:pt idx="10">
                  <c:v>500</c:v>
                </c:pt>
                <c:pt idx="11">
                  <c:v>550</c:v>
                </c:pt>
                <c:pt idx="12">
                  <c:v>600</c:v>
                </c:pt>
                <c:pt idx="13">
                  <c:v>650</c:v>
                </c:pt>
                <c:pt idx="14">
                  <c:v>700</c:v>
                </c:pt>
                <c:pt idx="15">
                  <c:v>750</c:v>
                </c:pt>
                <c:pt idx="16">
                  <c:v>800</c:v>
                </c:pt>
                <c:pt idx="17">
                  <c:v>850</c:v>
                </c:pt>
                <c:pt idx="18">
                  <c:v>900</c:v>
                </c:pt>
                <c:pt idx="19">
                  <c:v>950</c:v>
                </c:pt>
                <c:pt idx="20">
                  <c:v>1000</c:v>
                </c:pt>
                <c:pt idx="21">
                  <c:v>1050</c:v>
                </c:pt>
                <c:pt idx="22">
                  <c:v>1100</c:v>
                </c:pt>
                <c:pt idx="23">
                  <c:v>1150</c:v>
                </c:pt>
                <c:pt idx="24">
                  <c:v>1200</c:v>
                </c:pt>
                <c:pt idx="25">
                  <c:v>1250</c:v>
                </c:pt>
              </c:numCache>
            </c:numRef>
          </c:cat>
          <c:val>
            <c:numRef>
              <c:f>'DATA - MW = 18.85 (Sp Gr= 0.65)'!$Z$8:$Z$33</c:f>
              <c:numCache>
                <c:formatCode>General</c:formatCode>
                <c:ptCount val="26"/>
                <c:pt idx="0">
                  <c:v>1</c:v>
                </c:pt>
                <c:pt idx="1">
                  <c:v>0.98039999999999994</c:v>
                </c:pt>
                <c:pt idx="2">
                  <c:v>0.96699999999999997</c:v>
                </c:pt>
                <c:pt idx="3">
                  <c:v>0.95479999999999998</c:v>
                </c:pt>
                <c:pt idx="4">
                  <c:v>0.9423999999999999</c:v>
                </c:pt>
                <c:pt idx="5">
                  <c:v>0.93300000000000005</c:v>
                </c:pt>
                <c:pt idx="6">
                  <c:v>0.91900000000000004</c:v>
                </c:pt>
                <c:pt idx="7">
                  <c:v>0.90739999999999998</c:v>
                </c:pt>
                <c:pt idx="8">
                  <c:v>0.89400000000000002</c:v>
                </c:pt>
                <c:pt idx="9">
                  <c:v>0.88180000000000003</c:v>
                </c:pt>
                <c:pt idx="10">
                  <c:v>0.87119999999999997</c:v>
                </c:pt>
                <c:pt idx="11">
                  <c:v>0.85919999999999996</c:v>
                </c:pt>
                <c:pt idx="12">
                  <c:v>0.84299999999999997</c:v>
                </c:pt>
                <c:pt idx="13">
                  <c:v>0.83019999999999994</c:v>
                </c:pt>
                <c:pt idx="14">
                  <c:v>0.82000000000000006</c:v>
                </c:pt>
                <c:pt idx="15">
                  <c:v>0.80980000000000008</c:v>
                </c:pt>
                <c:pt idx="16">
                  <c:v>0.79720000000000002</c:v>
                </c:pt>
                <c:pt idx="17">
                  <c:v>0.78100000000000003</c:v>
                </c:pt>
                <c:pt idx="18">
                  <c:v>0.76839999999999997</c:v>
                </c:pt>
                <c:pt idx="19">
                  <c:v>0.76</c:v>
                </c:pt>
                <c:pt idx="20">
                  <c:v>0.745</c:v>
                </c:pt>
                <c:pt idx="21">
                  <c:v>0.73039999999999994</c:v>
                </c:pt>
                <c:pt idx="22">
                  <c:v>0.71939999999999993</c:v>
                </c:pt>
                <c:pt idx="23">
                  <c:v>0.71060000000000001</c:v>
                </c:pt>
                <c:pt idx="24">
                  <c:v>0.70019999999999993</c:v>
                </c:pt>
                <c:pt idx="25">
                  <c:v>0.68800000000000006</c:v>
                </c:pt>
              </c:numCache>
            </c:numRef>
          </c:val>
        </c:ser>
        <c:ser>
          <c:idx val="20"/>
          <c:order val="20"/>
          <c:tx>
            <c:v>T = 20</c:v>
          </c:tx>
          <c:spPr>
            <a:ln w="12700">
              <a:solidFill>
                <a:srgbClr val="FF9900"/>
              </a:solidFill>
              <a:prstDash val="solid"/>
            </a:ln>
          </c:spPr>
          <c:marker>
            <c:symbol val="triangle"/>
            <c:size val="5"/>
            <c:spPr>
              <a:solidFill>
                <a:srgbClr val="FF9900"/>
              </a:solidFill>
              <a:ln>
                <a:solidFill>
                  <a:srgbClr val="FF9900"/>
                </a:solidFill>
                <a:prstDash val="solid"/>
              </a:ln>
            </c:spPr>
          </c:marker>
          <c:trendline>
            <c:spPr>
              <a:ln w="25400">
                <a:solidFill>
                  <a:srgbClr val="000000"/>
                </a:solidFill>
                <a:prstDash val="solid"/>
              </a:ln>
            </c:spPr>
            <c:trendlineType val="poly"/>
            <c:order val="3"/>
          </c:trendline>
          <c:cat>
            <c:numRef>
              <c:f>'DATA - MW = 18.85 (Sp Gr= 0.65)'!$A$8:$A$33</c:f>
              <c:numCache>
                <c:formatCode>General</c:formatCode>
                <c:ptCount val="26"/>
                <c:pt idx="0">
                  <c:v>0</c:v>
                </c:pt>
                <c:pt idx="1">
                  <c:v>50</c:v>
                </c:pt>
                <c:pt idx="2">
                  <c:v>100</c:v>
                </c:pt>
                <c:pt idx="3">
                  <c:v>150</c:v>
                </c:pt>
                <c:pt idx="4">
                  <c:v>200</c:v>
                </c:pt>
                <c:pt idx="5">
                  <c:v>250</c:v>
                </c:pt>
                <c:pt idx="6">
                  <c:v>300</c:v>
                </c:pt>
                <c:pt idx="7">
                  <c:v>350</c:v>
                </c:pt>
                <c:pt idx="8">
                  <c:v>400</c:v>
                </c:pt>
                <c:pt idx="9">
                  <c:v>450</c:v>
                </c:pt>
                <c:pt idx="10">
                  <c:v>500</c:v>
                </c:pt>
                <c:pt idx="11">
                  <c:v>550</c:v>
                </c:pt>
                <c:pt idx="12">
                  <c:v>600</c:v>
                </c:pt>
                <c:pt idx="13">
                  <c:v>650</c:v>
                </c:pt>
                <c:pt idx="14">
                  <c:v>700</c:v>
                </c:pt>
                <c:pt idx="15">
                  <c:v>750</c:v>
                </c:pt>
                <c:pt idx="16">
                  <c:v>800</c:v>
                </c:pt>
                <c:pt idx="17">
                  <c:v>850</c:v>
                </c:pt>
                <c:pt idx="18">
                  <c:v>900</c:v>
                </c:pt>
                <c:pt idx="19">
                  <c:v>950</c:v>
                </c:pt>
                <c:pt idx="20">
                  <c:v>1000</c:v>
                </c:pt>
                <c:pt idx="21">
                  <c:v>1050</c:v>
                </c:pt>
                <c:pt idx="22">
                  <c:v>1100</c:v>
                </c:pt>
                <c:pt idx="23">
                  <c:v>1150</c:v>
                </c:pt>
                <c:pt idx="24">
                  <c:v>1200</c:v>
                </c:pt>
                <c:pt idx="25">
                  <c:v>1250</c:v>
                </c:pt>
              </c:numCache>
            </c:numRef>
          </c:cat>
          <c:val>
            <c:numRef>
              <c:f>'DATA - MW = 18.85 (Sp Gr= 0.65)'!$AB$8:$AB$33</c:f>
              <c:numCache>
                <c:formatCode>General</c:formatCode>
                <c:ptCount val="26"/>
                <c:pt idx="0">
                  <c:v>1</c:v>
                </c:pt>
                <c:pt idx="1">
                  <c:v>0.97733333333333328</c:v>
                </c:pt>
                <c:pt idx="2">
                  <c:v>0.96166666666666667</c:v>
                </c:pt>
                <c:pt idx="3">
                  <c:v>0.94799999999999995</c:v>
                </c:pt>
                <c:pt idx="4">
                  <c:v>0.93433333333333335</c:v>
                </c:pt>
                <c:pt idx="5">
                  <c:v>0.92333333333333334</c:v>
                </c:pt>
                <c:pt idx="6">
                  <c:v>0.90833333333333333</c:v>
                </c:pt>
                <c:pt idx="7">
                  <c:v>0.89533333333333331</c:v>
                </c:pt>
                <c:pt idx="8">
                  <c:v>0.88</c:v>
                </c:pt>
                <c:pt idx="9">
                  <c:v>0.86733333333333329</c:v>
                </c:pt>
                <c:pt idx="10">
                  <c:v>0.85499999999999998</c:v>
                </c:pt>
                <c:pt idx="11">
                  <c:v>0.84066666666666667</c:v>
                </c:pt>
                <c:pt idx="12">
                  <c:v>0.82499999999999996</c:v>
                </c:pt>
                <c:pt idx="13">
                  <c:v>0.80966666666666665</c:v>
                </c:pt>
                <c:pt idx="14">
                  <c:v>0.79800000000000004</c:v>
                </c:pt>
                <c:pt idx="15">
                  <c:v>0.78600000000000003</c:v>
                </c:pt>
                <c:pt idx="16">
                  <c:v>0.77266666666666672</c:v>
                </c:pt>
                <c:pt idx="17">
                  <c:v>0.7543333333333333</c:v>
                </c:pt>
                <c:pt idx="18">
                  <c:v>0.74033333333333329</c:v>
                </c:pt>
                <c:pt idx="19">
                  <c:v>0.73</c:v>
                </c:pt>
                <c:pt idx="20">
                  <c:v>0.71499999999999997</c:v>
                </c:pt>
                <c:pt idx="21">
                  <c:v>0.69733333333333336</c:v>
                </c:pt>
                <c:pt idx="22">
                  <c:v>0.68299999999999994</c:v>
                </c:pt>
                <c:pt idx="23">
                  <c:v>0.67199999999999993</c:v>
                </c:pt>
                <c:pt idx="24">
                  <c:v>0.66099999999999992</c:v>
                </c:pt>
                <c:pt idx="25">
                  <c:v>0.64733333333333332</c:v>
                </c:pt>
              </c:numCache>
            </c:numRef>
          </c:val>
        </c:ser>
        <c:ser>
          <c:idx val="21"/>
          <c:order val="21"/>
          <c:tx>
            <c:v>T = 15</c:v>
          </c:tx>
          <c:spPr>
            <a:ln w="12700">
              <a:solidFill>
                <a:srgbClr val="FF6600"/>
              </a:solidFill>
              <a:prstDash val="solid"/>
            </a:ln>
          </c:spPr>
          <c:marker>
            <c:symbol val="x"/>
            <c:size val="5"/>
            <c:spPr>
              <a:noFill/>
              <a:ln>
                <a:solidFill>
                  <a:srgbClr val="FF6600"/>
                </a:solidFill>
                <a:prstDash val="solid"/>
              </a:ln>
            </c:spPr>
          </c:marker>
          <c:trendline>
            <c:spPr>
              <a:ln w="25400">
                <a:solidFill>
                  <a:srgbClr val="000000"/>
                </a:solidFill>
                <a:prstDash val="solid"/>
              </a:ln>
            </c:spPr>
            <c:trendlineType val="poly"/>
            <c:order val="3"/>
          </c:trendline>
          <c:cat>
            <c:numRef>
              <c:f>'DATA - MW = 18.85 (Sp Gr= 0.65)'!$A$8:$A$33</c:f>
              <c:numCache>
                <c:formatCode>General</c:formatCode>
                <c:ptCount val="26"/>
                <c:pt idx="0">
                  <c:v>0</c:v>
                </c:pt>
                <c:pt idx="1">
                  <c:v>50</c:v>
                </c:pt>
                <c:pt idx="2">
                  <c:v>100</c:v>
                </c:pt>
                <c:pt idx="3">
                  <c:v>150</c:v>
                </c:pt>
                <c:pt idx="4">
                  <c:v>200</c:v>
                </c:pt>
                <c:pt idx="5">
                  <c:v>250</c:v>
                </c:pt>
                <c:pt idx="6">
                  <c:v>300</c:v>
                </c:pt>
                <c:pt idx="7">
                  <c:v>350</c:v>
                </c:pt>
                <c:pt idx="8">
                  <c:v>400</c:v>
                </c:pt>
                <c:pt idx="9">
                  <c:v>450</c:v>
                </c:pt>
                <c:pt idx="10">
                  <c:v>500</c:v>
                </c:pt>
                <c:pt idx="11">
                  <c:v>550</c:v>
                </c:pt>
                <c:pt idx="12">
                  <c:v>600</c:v>
                </c:pt>
                <c:pt idx="13">
                  <c:v>650</c:v>
                </c:pt>
                <c:pt idx="14">
                  <c:v>700</c:v>
                </c:pt>
                <c:pt idx="15">
                  <c:v>750</c:v>
                </c:pt>
                <c:pt idx="16">
                  <c:v>800</c:v>
                </c:pt>
                <c:pt idx="17">
                  <c:v>850</c:v>
                </c:pt>
                <c:pt idx="18">
                  <c:v>900</c:v>
                </c:pt>
                <c:pt idx="19">
                  <c:v>950</c:v>
                </c:pt>
                <c:pt idx="20">
                  <c:v>1000</c:v>
                </c:pt>
                <c:pt idx="21">
                  <c:v>1050</c:v>
                </c:pt>
                <c:pt idx="22">
                  <c:v>1100</c:v>
                </c:pt>
                <c:pt idx="23">
                  <c:v>1150</c:v>
                </c:pt>
                <c:pt idx="24">
                  <c:v>1200</c:v>
                </c:pt>
                <c:pt idx="25">
                  <c:v>1250</c:v>
                </c:pt>
              </c:numCache>
            </c:numRef>
          </c:cat>
          <c:val>
            <c:numRef>
              <c:f>'DATA - MW = 18.85 (Sp Gr= 0.65)'!$AC$8:$AC$33</c:f>
              <c:numCache>
                <c:formatCode>General</c:formatCode>
                <c:ptCount val="26"/>
                <c:pt idx="0">
                  <c:v>1</c:v>
                </c:pt>
                <c:pt idx="1">
                  <c:v>0.97466666666666668</c:v>
                </c:pt>
                <c:pt idx="2">
                  <c:v>0.95833333333333326</c:v>
                </c:pt>
                <c:pt idx="3">
                  <c:v>0.94399999999999995</c:v>
                </c:pt>
                <c:pt idx="4">
                  <c:v>0.92966666666666664</c:v>
                </c:pt>
                <c:pt idx="5">
                  <c:v>0.91666666666666674</c:v>
                </c:pt>
                <c:pt idx="6">
                  <c:v>0.90166666666666673</c:v>
                </c:pt>
                <c:pt idx="7">
                  <c:v>0.88766666666666671</c:v>
                </c:pt>
                <c:pt idx="8">
                  <c:v>0.871</c:v>
                </c:pt>
                <c:pt idx="9">
                  <c:v>0.85866666666666669</c:v>
                </c:pt>
                <c:pt idx="10">
                  <c:v>0.84499999999999997</c:v>
                </c:pt>
                <c:pt idx="11">
                  <c:v>0.82833333333333325</c:v>
                </c:pt>
                <c:pt idx="12">
                  <c:v>0.81400000000000006</c:v>
                </c:pt>
                <c:pt idx="13">
                  <c:v>0.79733333333333334</c:v>
                </c:pt>
                <c:pt idx="14">
                  <c:v>0.78400000000000003</c:v>
                </c:pt>
                <c:pt idx="15">
                  <c:v>0.77</c:v>
                </c:pt>
                <c:pt idx="16">
                  <c:v>0.7563333333333333</c:v>
                </c:pt>
                <c:pt idx="17">
                  <c:v>0.73666666666666669</c:v>
                </c:pt>
                <c:pt idx="18">
                  <c:v>0.72166666666666668</c:v>
                </c:pt>
                <c:pt idx="19">
                  <c:v>0.71</c:v>
                </c:pt>
                <c:pt idx="20">
                  <c:v>0.69500000000000006</c:v>
                </c:pt>
                <c:pt idx="21">
                  <c:v>0.67466666666666664</c:v>
                </c:pt>
                <c:pt idx="22">
                  <c:v>0.65700000000000003</c:v>
                </c:pt>
                <c:pt idx="23">
                  <c:v>0.64400000000000002</c:v>
                </c:pt>
                <c:pt idx="24">
                  <c:v>0.63300000000000001</c:v>
                </c:pt>
                <c:pt idx="25">
                  <c:v>0.6186666666666667</c:v>
                </c:pt>
              </c:numCache>
            </c:numRef>
          </c:val>
        </c:ser>
        <c:ser>
          <c:idx val="22"/>
          <c:order val="22"/>
          <c:tx>
            <c:v>T = 10</c:v>
          </c:tx>
          <c:spPr>
            <a:ln w="12700">
              <a:solidFill>
                <a:srgbClr val="666699"/>
              </a:solidFill>
              <a:prstDash val="solid"/>
            </a:ln>
          </c:spPr>
          <c:marker>
            <c:symbol val="star"/>
            <c:size val="5"/>
            <c:spPr>
              <a:noFill/>
              <a:ln>
                <a:solidFill>
                  <a:srgbClr val="666699"/>
                </a:solidFill>
                <a:prstDash val="solid"/>
              </a:ln>
            </c:spPr>
          </c:marker>
          <c:trendline>
            <c:spPr>
              <a:ln w="25400">
                <a:solidFill>
                  <a:srgbClr val="000000"/>
                </a:solidFill>
                <a:prstDash val="solid"/>
              </a:ln>
            </c:spPr>
            <c:trendlineType val="poly"/>
            <c:order val="3"/>
          </c:trendline>
          <c:cat>
            <c:numRef>
              <c:f>'DATA - MW = 18.85 (Sp Gr= 0.65)'!$A$8:$A$33</c:f>
              <c:numCache>
                <c:formatCode>General</c:formatCode>
                <c:ptCount val="26"/>
                <c:pt idx="0">
                  <c:v>0</c:v>
                </c:pt>
                <c:pt idx="1">
                  <c:v>50</c:v>
                </c:pt>
                <c:pt idx="2">
                  <c:v>100</c:v>
                </c:pt>
                <c:pt idx="3">
                  <c:v>150</c:v>
                </c:pt>
                <c:pt idx="4">
                  <c:v>200</c:v>
                </c:pt>
                <c:pt idx="5">
                  <c:v>250</c:v>
                </c:pt>
                <c:pt idx="6">
                  <c:v>300</c:v>
                </c:pt>
                <c:pt idx="7">
                  <c:v>350</c:v>
                </c:pt>
                <c:pt idx="8">
                  <c:v>400</c:v>
                </c:pt>
                <c:pt idx="9">
                  <c:v>450</c:v>
                </c:pt>
                <c:pt idx="10">
                  <c:v>500</c:v>
                </c:pt>
                <c:pt idx="11">
                  <c:v>550</c:v>
                </c:pt>
                <c:pt idx="12">
                  <c:v>600</c:v>
                </c:pt>
                <c:pt idx="13">
                  <c:v>650</c:v>
                </c:pt>
                <c:pt idx="14">
                  <c:v>700</c:v>
                </c:pt>
                <c:pt idx="15">
                  <c:v>750</c:v>
                </c:pt>
                <c:pt idx="16">
                  <c:v>800</c:v>
                </c:pt>
                <c:pt idx="17">
                  <c:v>850</c:v>
                </c:pt>
                <c:pt idx="18">
                  <c:v>900</c:v>
                </c:pt>
                <c:pt idx="19">
                  <c:v>950</c:v>
                </c:pt>
                <c:pt idx="20">
                  <c:v>1000</c:v>
                </c:pt>
                <c:pt idx="21">
                  <c:v>1050</c:v>
                </c:pt>
                <c:pt idx="22">
                  <c:v>1100</c:v>
                </c:pt>
                <c:pt idx="23">
                  <c:v>1150</c:v>
                </c:pt>
                <c:pt idx="24">
                  <c:v>1200</c:v>
                </c:pt>
                <c:pt idx="25">
                  <c:v>1250</c:v>
                </c:pt>
              </c:numCache>
            </c:numRef>
          </c:cat>
          <c:val>
            <c:numRef>
              <c:f>'DATA - MW = 18.85 (Sp Gr= 0.65)'!$AD$8:$AD$33</c:f>
              <c:numCache>
                <c:formatCode>General</c:formatCode>
                <c:ptCount val="26"/>
                <c:pt idx="0">
                  <c:v>1</c:v>
                </c:pt>
                <c:pt idx="1">
                  <c:v>0.97199999999999998</c:v>
                </c:pt>
                <c:pt idx="2">
                  <c:v>0.95499999999999996</c:v>
                </c:pt>
                <c:pt idx="3">
                  <c:v>0.94</c:v>
                </c:pt>
                <c:pt idx="4">
                  <c:v>0.92500000000000004</c:v>
                </c:pt>
                <c:pt idx="5">
                  <c:v>0.91</c:v>
                </c:pt>
                <c:pt idx="6">
                  <c:v>0.89500000000000002</c:v>
                </c:pt>
                <c:pt idx="7">
                  <c:v>0.88</c:v>
                </c:pt>
                <c:pt idx="8">
                  <c:v>0.86199999999999999</c:v>
                </c:pt>
                <c:pt idx="9">
                  <c:v>0.85</c:v>
                </c:pt>
                <c:pt idx="10">
                  <c:v>0.83499999999999996</c:v>
                </c:pt>
                <c:pt idx="11">
                  <c:v>0.81599999999999995</c:v>
                </c:pt>
                <c:pt idx="12">
                  <c:v>0.80300000000000005</c:v>
                </c:pt>
                <c:pt idx="13">
                  <c:v>0.78500000000000003</c:v>
                </c:pt>
                <c:pt idx="14">
                  <c:v>0.77</c:v>
                </c:pt>
                <c:pt idx="15">
                  <c:v>0.754</c:v>
                </c:pt>
                <c:pt idx="16">
                  <c:v>0.74</c:v>
                </c:pt>
                <c:pt idx="17">
                  <c:v>0.71899999999999997</c:v>
                </c:pt>
                <c:pt idx="18">
                  <c:v>0.70299999999999996</c:v>
                </c:pt>
                <c:pt idx="19">
                  <c:v>0.69</c:v>
                </c:pt>
                <c:pt idx="20">
                  <c:v>0.67500000000000004</c:v>
                </c:pt>
                <c:pt idx="21">
                  <c:v>0.65200000000000002</c:v>
                </c:pt>
                <c:pt idx="22">
                  <c:v>0.63100000000000001</c:v>
                </c:pt>
                <c:pt idx="23">
                  <c:v>0.61599999999999999</c:v>
                </c:pt>
                <c:pt idx="24">
                  <c:v>0.60499999999999998</c:v>
                </c:pt>
                <c:pt idx="25">
                  <c:v>0.59</c:v>
                </c:pt>
              </c:numCache>
            </c:numRef>
          </c:val>
        </c:ser>
        <c:ser>
          <c:idx val="23"/>
          <c:order val="23"/>
          <c:tx>
            <c:v>T = 5</c:v>
          </c:tx>
          <c:spPr>
            <a:ln w="12700">
              <a:solidFill>
                <a:srgbClr val="969696"/>
              </a:solidFill>
              <a:prstDash val="solid"/>
            </a:ln>
          </c:spPr>
          <c:marker>
            <c:symbol val="circle"/>
            <c:size val="5"/>
            <c:spPr>
              <a:solidFill>
                <a:srgbClr val="969696"/>
              </a:solidFill>
              <a:ln>
                <a:solidFill>
                  <a:srgbClr val="969696"/>
                </a:solidFill>
                <a:prstDash val="solid"/>
              </a:ln>
            </c:spPr>
          </c:marker>
          <c:trendline>
            <c:spPr>
              <a:ln w="25400">
                <a:solidFill>
                  <a:srgbClr val="000000"/>
                </a:solidFill>
                <a:prstDash val="solid"/>
              </a:ln>
            </c:spPr>
            <c:trendlineType val="poly"/>
            <c:order val="3"/>
          </c:trendline>
          <c:cat>
            <c:numRef>
              <c:f>'DATA - MW = 18.85 (Sp Gr= 0.65)'!$A$8:$A$33</c:f>
              <c:numCache>
                <c:formatCode>General</c:formatCode>
                <c:ptCount val="26"/>
                <c:pt idx="0">
                  <c:v>0</c:v>
                </c:pt>
                <c:pt idx="1">
                  <c:v>50</c:v>
                </c:pt>
                <c:pt idx="2">
                  <c:v>100</c:v>
                </c:pt>
                <c:pt idx="3">
                  <c:v>150</c:v>
                </c:pt>
                <c:pt idx="4">
                  <c:v>200</c:v>
                </c:pt>
                <c:pt idx="5">
                  <c:v>250</c:v>
                </c:pt>
                <c:pt idx="6">
                  <c:v>300</c:v>
                </c:pt>
                <c:pt idx="7">
                  <c:v>350</c:v>
                </c:pt>
                <c:pt idx="8">
                  <c:v>400</c:v>
                </c:pt>
                <c:pt idx="9">
                  <c:v>450</c:v>
                </c:pt>
                <c:pt idx="10">
                  <c:v>500</c:v>
                </c:pt>
                <c:pt idx="11">
                  <c:v>550</c:v>
                </c:pt>
                <c:pt idx="12">
                  <c:v>600</c:v>
                </c:pt>
                <c:pt idx="13">
                  <c:v>650</c:v>
                </c:pt>
                <c:pt idx="14">
                  <c:v>700</c:v>
                </c:pt>
                <c:pt idx="15">
                  <c:v>750</c:v>
                </c:pt>
                <c:pt idx="16">
                  <c:v>800</c:v>
                </c:pt>
                <c:pt idx="17">
                  <c:v>850</c:v>
                </c:pt>
                <c:pt idx="18">
                  <c:v>900</c:v>
                </c:pt>
                <c:pt idx="19">
                  <c:v>950</c:v>
                </c:pt>
                <c:pt idx="20">
                  <c:v>1000</c:v>
                </c:pt>
                <c:pt idx="21">
                  <c:v>1050</c:v>
                </c:pt>
                <c:pt idx="22">
                  <c:v>1100</c:v>
                </c:pt>
                <c:pt idx="23">
                  <c:v>1150</c:v>
                </c:pt>
                <c:pt idx="24">
                  <c:v>1200</c:v>
                </c:pt>
                <c:pt idx="25">
                  <c:v>1250</c:v>
                </c:pt>
              </c:numCache>
            </c:numRef>
          </c:cat>
          <c:val>
            <c:numRef>
              <c:f>'DATA - MW = 18.85 (Sp Gr= 0.65)'!$AE$8:$AE$33</c:f>
              <c:numCache>
                <c:formatCode>General</c:formatCode>
                <c:ptCount val="26"/>
                <c:pt idx="0">
                  <c:v>1</c:v>
                </c:pt>
                <c:pt idx="1">
                  <c:v>0.96933333333333327</c:v>
                </c:pt>
                <c:pt idx="2">
                  <c:v>0.95166666666666666</c:v>
                </c:pt>
                <c:pt idx="3">
                  <c:v>0.93599999999999994</c:v>
                </c:pt>
                <c:pt idx="4">
                  <c:v>0.92033333333333345</c:v>
                </c:pt>
                <c:pt idx="5">
                  <c:v>0.90333333333333332</c:v>
                </c:pt>
                <c:pt idx="6">
                  <c:v>0.88833333333333331</c:v>
                </c:pt>
                <c:pt idx="7">
                  <c:v>0.87233333333333329</c:v>
                </c:pt>
                <c:pt idx="8">
                  <c:v>0.85299999999999998</c:v>
                </c:pt>
                <c:pt idx="9">
                  <c:v>0.84133333333333327</c:v>
                </c:pt>
                <c:pt idx="10">
                  <c:v>0.82499999999999996</c:v>
                </c:pt>
                <c:pt idx="11">
                  <c:v>0.80366666666666664</c:v>
                </c:pt>
                <c:pt idx="12">
                  <c:v>0.79200000000000004</c:v>
                </c:pt>
                <c:pt idx="13">
                  <c:v>0.77266666666666672</c:v>
                </c:pt>
                <c:pt idx="14">
                  <c:v>0.75600000000000001</c:v>
                </c:pt>
                <c:pt idx="15">
                  <c:v>0.73799999999999999</c:v>
                </c:pt>
                <c:pt idx="16">
                  <c:v>0.72366666666666668</c:v>
                </c:pt>
                <c:pt idx="17">
                  <c:v>0.70133333333333325</c:v>
                </c:pt>
                <c:pt idx="18">
                  <c:v>0.68433333333333324</c:v>
                </c:pt>
                <c:pt idx="19">
                  <c:v>0.66999999999999993</c:v>
                </c:pt>
                <c:pt idx="20">
                  <c:v>0.65500000000000003</c:v>
                </c:pt>
                <c:pt idx="21">
                  <c:v>0.62933333333333341</c:v>
                </c:pt>
                <c:pt idx="22">
                  <c:v>0.60499999999999998</c:v>
                </c:pt>
                <c:pt idx="23">
                  <c:v>0.58799999999999997</c:v>
                </c:pt>
                <c:pt idx="24">
                  <c:v>0.57699999999999996</c:v>
                </c:pt>
                <c:pt idx="25">
                  <c:v>0.56133333333333324</c:v>
                </c:pt>
              </c:numCache>
            </c:numRef>
          </c:val>
        </c:ser>
        <c:marker val="1"/>
        <c:axId val="155620480"/>
        <c:axId val="155622400"/>
      </c:lineChart>
      <c:catAx>
        <c:axId val="155620480"/>
        <c:scaling>
          <c:orientation val="minMax"/>
        </c:scaling>
        <c:axPos val="b"/>
        <c:title>
          <c:tx>
            <c:rich>
              <a:bodyPr/>
              <a:lstStyle/>
              <a:p>
                <a:pPr>
                  <a:defRPr sz="1000" b="1" i="0" u="none" strike="noStrike" baseline="0">
                    <a:solidFill>
                      <a:srgbClr val="000000"/>
                    </a:solidFill>
                    <a:latin typeface="Arial"/>
                    <a:ea typeface="Arial"/>
                    <a:cs typeface="Arial"/>
                  </a:defRPr>
                </a:pPr>
                <a:r>
                  <a:rPr lang="en-US"/>
                  <a:t>Pressure</a:t>
                </a:r>
              </a:p>
            </c:rich>
          </c:tx>
          <c:layout>
            <c:manualLayout>
              <c:xMode val="edge"/>
              <c:yMode val="edge"/>
              <c:x val="0.4284128745837959"/>
              <c:y val="0.94616639477977149"/>
            </c:manualLayout>
          </c:layout>
          <c:spPr>
            <a:noFill/>
            <a:ln w="25400">
              <a:noFill/>
            </a:ln>
          </c:spPr>
        </c:title>
        <c:numFmt formatCode="General" sourceLinked="1"/>
        <c:minorTickMark val="cross"/>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55622400"/>
        <c:crossesAt val="0.55000000000000004"/>
        <c:auto val="1"/>
        <c:lblAlgn val="ctr"/>
        <c:lblOffset val="100"/>
        <c:tickLblSkip val="4"/>
        <c:tickMarkSkip val="1"/>
      </c:catAx>
      <c:valAx>
        <c:axId val="155622400"/>
        <c:scaling>
          <c:orientation val="minMax"/>
          <c:min val="0.55000000000000004"/>
        </c:scaling>
        <c:axPos val="l"/>
        <c:majorGridlines>
          <c:spPr>
            <a:ln w="3175">
              <a:solidFill>
                <a:srgbClr val="000000"/>
              </a:solidFill>
              <a:prstDash val="solid"/>
            </a:ln>
          </c:spPr>
        </c:majorGridlines>
        <c:title>
          <c:tx>
            <c:rich>
              <a:bodyPr/>
              <a:lstStyle/>
              <a:p>
                <a:pPr>
                  <a:defRPr sz="1000" b="1" i="0" u="none" strike="noStrike" baseline="0">
                    <a:solidFill>
                      <a:srgbClr val="000000"/>
                    </a:solidFill>
                    <a:latin typeface="Arial"/>
                    <a:ea typeface="Arial"/>
                    <a:cs typeface="Arial"/>
                  </a:defRPr>
                </a:pPr>
                <a:r>
                  <a:rPr lang="en-US"/>
                  <a:t>Z</a:t>
                </a:r>
              </a:p>
            </c:rich>
          </c:tx>
          <c:layout>
            <c:manualLayout>
              <c:xMode val="edge"/>
              <c:yMode val="edge"/>
              <c:x val="1.1098779134295227E-2"/>
              <c:y val="0.50081566068515493"/>
            </c:manualLayout>
          </c:layout>
          <c:spPr>
            <a:noFill/>
            <a:ln w="25400">
              <a:noFill/>
            </a:ln>
          </c:spPr>
        </c:title>
        <c:numFmt formatCode="General" sourceLinked="1"/>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55620480"/>
        <c:crosses val="autoZero"/>
        <c:crossBetween val="between"/>
      </c:valAx>
      <c:spPr>
        <a:solidFill>
          <a:srgbClr val="FFFFFF"/>
        </a:solidFill>
        <a:ln w="12700">
          <a:solidFill>
            <a:srgbClr val="808080"/>
          </a:solidFill>
          <a:prstDash val="solid"/>
        </a:ln>
      </c:spPr>
    </c:plotArea>
    <c:legend>
      <c:legendPos val="r"/>
      <c:layout>
        <c:manualLayout>
          <c:xMode val="edge"/>
          <c:yMode val="edge"/>
          <c:x val="0.85571587125416215"/>
          <c:y val="8.1566068515497581E-3"/>
          <c:w val="0.13873473917869042"/>
          <c:h val="0.99184339314845038"/>
        </c:manualLayout>
      </c:layout>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n-US"/>
        </a:p>
      </c:txPr>
    </c:legend>
    <c:plotVisOnly val="1"/>
    <c:dispBlanksAs val="gap"/>
  </c:chart>
  <c:spPr>
    <a:noFill/>
    <a:ln w="9525">
      <a:noFill/>
    </a:ln>
  </c:spPr>
  <c:txPr>
    <a:bodyPr/>
    <a:lstStyle/>
    <a:p>
      <a:pPr>
        <a:defRPr sz="1000" b="0" i="0" u="none" strike="noStrike" baseline="0">
          <a:solidFill>
            <a:srgbClr val="000000"/>
          </a:solidFill>
          <a:latin typeface="Arial"/>
          <a:ea typeface="Arial"/>
          <a:cs typeface="Arial"/>
        </a:defRPr>
      </a:pPr>
      <a:endParaRPr lang="en-US"/>
    </a:p>
  </c:txPr>
</c:chartSpace>
</file>

<file path=xl/charts/chart7.xml><?xml version="1.0" encoding="utf-8"?>
<c:chartSpace xmlns:c="http://schemas.openxmlformats.org/drawingml/2006/chart" xmlns:a="http://schemas.openxmlformats.org/drawingml/2006/main" xmlns:r="http://schemas.openxmlformats.org/officeDocument/2006/relationships">
  <c:lang val="en-US"/>
  <c:chart>
    <c:plotArea>
      <c:layout>
        <c:manualLayout>
          <c:layoutTarget val="inner"/>
          <c:xMode val="edge"/>
          <c:yMode val="edge"/>
          <c:x val="7.9222836122647106E-2"/>
          <c:y val="7.6294379436280549E-2"/>
          <c:w val="0.65919378736013912"/>
          <c:h val="0.73297100244140967"/>
        </c:manualLayout>
      </c:layout>
      <c:lineChart>
        <c:grouping val="standard"/>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trendline>
            <c:spPr>
              <a:ln w="25400">
                <a:solidFill>
                  <a:srgbClr val="000000"/>
                </a:solidFill>
                <a:prstDash val="solid"/>
              </a:ln>
            </c:spPr>
            <c:trendlineType val="linear"/>
          </c:trendline>
          <c:cat>
            <c:numRef>
              <c:f>'Z Ratio - Velocity Sheet'!$A$8:$A$32</c:f>
              <c:numCache>
                <c:formatCode>General</c:formatCode>
                <c:ptCount val="25"/>
                <c:pt idx="0">
                  <c:v>50</c:v>
                </c:pt>
                <c:pt idx="1">
                  <c:v>100</c:v>
                </c:pt>
                <c:pt idx="2">
                  <c:v>150</c:v>
                </c:pt>
                <c:pt idx="3">
                  <c:v>200</c:v>
                </c:pt>
                <c:pt idx="4">
                  <c:v>250</c:v>
                </c:pt>
                <c:pt idx="5">
                  <c:v>300</c:v>
                </c:pt>
                <c:pt idx="6">
                  <c:v>350</c:v>
                </c:pt>
                <c:pt idx="7">
                  <c:v>400</c:v>
                </c:pt>
                <c:pt idx="8">
                  <c:v>450</c:v>
                </c:pt>
                <c:pt idx="9">
                  <c:v>500</c:v>
                </c:pt>
                <c:pt idx="10">
                  <c:v>550</c:v>
                </c:pt>
                <c:pt idx="11">
                  <c:v>600</c:v>
                </c:pt>
                <c:pt idx="12">
                  <c:v>650</c:v>
                </c:pt>
                <c:pt idx="13">
                  <c:v>700</c:v>
                </c:pt>
                <c:pt idx="14">
                  <c:v>750</c:v>
                </c:pt>
                <c:pt idx="15">
                  <c:v>800</c:v>
                </c:pt>
                <c:pt idx="16">
                  <c:v>850</c:v>
                </c:pt>
                <c:pt idx="17">
                  <c:v>900</c:v>
                </c:pt>
                <c:pt idx="18">
                  <c:v>950</c:v>
                </c:pt>
                <c:pt idx="19">
                  <c:v>1000</c:v>
                </c:pt>
                <c:pt idx="20">
                  <c:v>1050</c:v>
                </c:pt>
                <c:pt idx="21">
                  <c:v>1100</c:v>
                </c:pt>
                <c:pt idx="22">
                  <c:v>1150</c:v>
                </c:pt>
                <c:pt idx="23">
                  <c:v>1200</c:v>
                </c:pt>
                <c:pt idx="24">
                  <c:v>1250</c:v>
                </c:pt>
              </c:numCache>
            </c:numRef>
          </c:cat>
          <c:val>
            <c:numRef>
              <c:f>'Z Ratio - Velocity Sheet'!$B$8:$B$32</c:f>
              <c:numCache>
                <c:formatCode>General</c:formatCode>
                <c:ptCount val="25"/>
                <c:pt idx="0">
                  <c:v>0.99064750000000001</c:v>
                </c:pt>
                <c:pt idx="1">
                  <c:v>0.98339750000000004</c:v>
                </c:pt>
                <c:pt idx="2">
                  <c:v>0.97614749999999995</c:v>
                </c:pt>
                <c:pt idx="3">
                  <c:v>0.96889749999999997</c:v>
                </c:pt>
                <c:pt idx="4">
                  <c:v>0.96164749999999999</c:v>
                </c:pt>
                <c:pt idx="5">
                  <c:v>0.95439750000000001</c:v>
                </c:pt>
                <c:pt idx="6">
                  <c:v>0.94714750000000003</c:v>
                </c:pt>
                <c:pt idx="7">
                  <c:v>0.93989750000000005</c:v>
                </c:pt>
                <c:pt idx="8">
                  <c:v>0.93264749999999996</c:v>
                </c:pt>
                <c:pt idx="9">
                  <c:v>0.92539749999999998</c:v>
                </c:pt>
                <c:pt idx="10">
                  <c:v>0.91814750000000001</c:v>
                </c:pt>
                <c:pt idx="11">
                  <c:v>0.91089750000000003</c:v>
                </c:pt>
                <c:pt idx="12">
                  <c:v>0.90364750000000005</c:v>
                </c:pt>
                <c:pt idx="13">
                  <c:v>0.89639749999999996</c:v>
                </c:pt>
                <c:pt idx="14">
                  <c:v>0.88914749999999998</c:v>
                </c:pt>
                <c:pt idx="15">
                  <c:v>0.8818975</c:v>
                </c:pt>
                <c:pt idx="16">
                  <c:v>0.87464750000000002</c:v>
                </c:pt>
                <c:pt idx="17">
                  <c:v>0.86739750000000004</c:v>
                </c:pt>
                <c:pt idx="18">
                  <c:v>0.86014750000000006</c:v>
                </c:pt>
                <c:pt idx="19">
                  <c:v>0.85289749999999998</c:v>
                </c:pt>
                <c:pt idx="20">
                  <c:v>0.8456475</c:v>
                </c:pt>
                <c:pt idx="21">
                  <c:v>0.83839750000000002</c:v>
                </c:pt>
                <c:pt idx="22">
                  <c:v>0.83114750000000004</c:v>
                </c:pt>
                <c:pt idx="23">
                  <c:v>0.82389749999999995</c:v>
                </c:pt>
                <c:pt idx="24">
                  <c:v>0.81664749999999997</c:v>
                </c:pt>
              </c:numCache>
            </c:numRef>
          </c:val>
        </c:ser>
        <c:marker val="1"/>
        <c:axId val="155705728"/>
        <c:axId val="155707264"/>
      </c:lineChart>
      <c:catAx>
        <c:axId val="155705728"/>
        <c:scaling>
          <c:orientation val="minMax"/>
        </c:scaling>
        <c:axPos val="b"/>
        <c:numFmt formatCode="General" sourceLinked="1"/>
        <c:tickLblPos val="nextTo"/>
        <c:spPr>
          <a:ln w="3175">
            <a:solidFill>
              <a:srgbClr val="000000"/>
            </a:solidFill>
            <a:prstDash val="solid"/>
          </a:ln>
        </c:spPr>
        <c:txPr>
          <a:bodyPr rot="-2700000" vert="horz"/>
          <a:lstStyle/>
          <a:p>
            <a:pPr>
              <a:defRPr sz="1200" b="0" i="0" u="none" strike="noStrike" baseline="0">
                <a:solidFill>
                  <a:srgbClr val="000000"/>
                </a:solidFill>
                <a:latin typeface="Arial"/>
                <a:ea typeface="Arial"/>
                <a:cs typeface="Arial"/>
              </a:defRPr>
            </a:pPr>
            <a:endParaRPr lang="en-US"/>
          </a:p>
        </c:txPr>
        <c:crossAx val="155707264"/>
        <c:crosses val="autoZero"/>
        <c:auto val="1"/>
        <c:lblAlgn val="ctr"/>
        <c:lblOffset val="100"/>
        <c:tickLblSkip val="2"/>
        <c:tickMarkSkip val="1"/>
      </c:catAx>
      <c:valAx>
        <c:axId val="155707264"/>
        <c:scaling>
          <c:orientation val="minMax"/>
        </c:scaling>
        <c:axPos val="l"/>
        <c:majorGridlines>
          <c:spPr>
            <a:ln w="3175">
              <a:solidFill>
                <a:srgbClr val="000000"/>
              </a:solidFill>
              <a:prstDash val="solid"/>
            </a:ln>
          </c:spPr>
        </c:majorGridlines>
        <c:numFmt formatCode="General" sourceLinked="1"/>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155705728"/>
        <c:crosses val="autoZero"/>
        <c:crossBetween val="between"/>
      </c:valAx>
      <c:spPr>
        <a:solidFill>
          <a:srgbClr val="C0C0C0"/>
        </a:solidFill>
        <a:ln w="12700">
          <a:solidFill>
            <a:srgbClr val="808080"/>
          </a:solidFill>
          <a:prstDash val="solid"/>
        </a:ln>
      </c:spPr>
    </c:plotArea>
    <c:legend>
      <c:legendPos val="r"/>
      <c:layout>
        <c:manualLayout>
          <c:xMode val="edge"/>
          <c:yMode val="edge"/>
          <c:x val="0.75485909552785735"/>
          <c:y val="0.37602237050069021"/>
          <c:w val="0.23318417036435468"/>
          <c:h val="0.13351527244380559"/>
        </c:manualLayout>
      </c:layout>
      <c:spPr>
        <a:solidFill>
          <a:srgbClr val="FFFFFF"/>
        </a:solidFill>
        <a:ln w="3175">
          <a:solidFill>
            <a:srgbClr val="000000"/>
          </a:solidFill>
          <a:prstDash val="solid"/>
        </a:ln>
      </c:spPr>
      <c:txPr>
        <a:bodyPr/>
        <a:lstStyle/>
        <a:p>
          <a:pPr>
            <a:defRPr sz="1100" b="0" i="0" u="none" strike="noStrike" baseline="0">
              <a:solidFill>
                <a:srgbClr val="000000"/>
              </a:solidFill>
              <a:latin typeface="Arial"/>
              <a:ea typeface="Arial"/>
              <a:cs typeface="Arial"/>
            </a:defRPr>
          </a:pPr>
          <a:endParaRPr lang="en-US"/>
        </a:p>
      </c:txPr>
    </c:legend>
    <c:plotVisOnly val="1"/>
    <c:dispBlanksAs val="gap"/>
  </c:chart>
  <c:spPr>
    <a:solidFill>
      <a:srgbClr val="FFFFFF"/>
    </a:solid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000000000000011" r="0.75000000000000011" t="1" header="0.5" footer="0.5"/>
    <c:pageSetup/>
  </c:printSettings>
</c:chartSpace>
</file>

<file path=xl/chart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sheetViews>
    <sheetView zoomScale="91" workbookViewId="0"/>
  </sheetViews>
  <sheetProtection content="1" objects="1"/>
  <pageMargins left="0.75" right="0.75" top="1" bottom="1" header="0.5" footer="0.5"/>
  <pageSetup orientation="landscape" r:id="rId1"/>
  <headerFooter alignWithMargins="0"/>
  <drawing r:id="rId2"/>
</chartsheet>
</file>

<file path=xl/chartsheets/sheet2.xml><?xml version="1.0" encoding="utf-8"?>
<chartsheet xmlns="http://schemas.openxmlformats.org/spreadsheetml/2006/main" xmlns:r="http://schemas.openxmlformats.org/officeDocument/2006/relationships">
  <sheetPr/>
  <sheetViews>
    <sheetView zoomScale="91" workbookViewId="0"/>
  </sheetViews>
  <sheetProtection content="1" objects="1"/>
  <pageMargins left="0.75" right="0.75" top="1" bottom="1" header="0.5" footer="0.5"/>
  <headerFooter alignWithMargins="0"/>
  <drawing r:id="rId1"/>
</chartsheet>
</file>

<file path=xl/chartsheets/sheet3.xml><?xml version="1.0" encoding="utf-8"?>
<chartsheet xmlns="http://schemas.openxmlformats.org/spreadsheetml/2006/main" xmlns:r="http://schemas.openxmlformats.org/officeDocument/2006/relationships">
  <sheetPr codeName="Chart5"/>
  <sheetViews>
    <sheetView zoomScale="91" workbookViewId="0"/>
  </sheetViews>
  <sheetProtection content="1" objects="1"/>
  <pageMargins left="0.75" right="0.75" top="1" bottom="1" header="0.5" footer="0.5"/>
  <headerFooter alignWithMargins="0"/>
  <drawing r:id="rId1"/>
</chartsheet>
</file>

<file path=xl/chartsheets/sheet4.xml><?xml version="1.0" encoding="utf-8"?>
<chartsheet xmlns="http://schemas.openxmlformats.org/spreadsheetml/2006/main" xmlns:r="http://schemas.openxmlformats.org/officeDocument/2006/relationships">
  <sheetPr/>
  <sheetViews>
    <sheetView zoomScale="91" workbookViewId="0"/>
  </sheetViews>
  <sheetProtection content="1" objects="1"/>
  <pageMargins left="0.75" right="0.75" top="1" bottom="1" header="0.5" footer="0.5"/>
  <headerFooter alignWithMargins="0"/>
  <drawing r:id="rId1"/>
</chartsheet>
</file>

<file path=xl/chartsheets/sheet5.xml><?xml version="1.0" encoding="utf-8"?>
<chartsheet xmlns="http://schemas.openxmlformats.org/spreadsheetml/2006/main" xmlns:r="http://schemas.openxmlformats.org/officeDocument/2006/relationships">
  <sheetPr/>
  <sheetViews>
    <sheetView zoomScale="91" workbookViewId="0"/>
  </sheetViews>
  <sheetProtection content="1" objects="1"/>
  <pageMargins left="0.75" right="0.75" top="1" bottom="1" header="0.5" footer="0.5"/>
  <headerFooter alignWithMargins="0"/>
  <drawing r:id="rId1"/>
</chartsheet>
</file>

<file path=xl/chartsheets/sheet6.xml><?xml version="1.0" encoding="utf-8"?>
<chartsheet xmlns="http://schemas.openxmlformats.org/spreadsheetml/2006/main" xmlns:r="http://schemas.openxmlformats.org/officeDocument/2006/relationships">
  <sheetPr/>
  <sheetViews>
    <sheetView zoomScale="91" workbookViewId="0"/>
  </sheetViews>
  <sheetProtection content="1" objects="1"/>
  <pageMargins left="0.75" right="0.75" top="1" bottom="1" header="0.5" footer="0.5"/>
  <headerFooter alignWithMargins="0"/>
  <drawing r:id="rId1"/>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absoluteAnchor>
    <xdr:pos x="0" y="0"/>
    <xdr:ext cx="8582025" cy="5838825"/>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xdr:absoluteAnchor>
    <xdr:pos x="0" y="0"/>
    <xdr:ext cx="8582025" cy="5838825"/>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xdr:wsDr xmlns:xdr="http://schemas.openxmlformats.org/drawingml/2006/spreadsheetDrawing" xmlns:a="http://schemas.openxmlformats.org/drawingml/2006/main">
  <xdr:absoluteAnchor>
    <xdr:pos x="0" y="0"/>
    <xdr:ext cx="8582025" cy="5838825"/>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8582025" cy="5838825"/>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8582025" cy="5838825"/>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8582025" cy="5838825"/>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xdr:from>
      <xdr:col>3</xdr:col>
      <xdr:colOff>123825</xdr:colOff>
      <xdr:row>9</xdr:row>
      <xdr:rowOff>95250</xdr:rowOff>
    </xdr:from>
    <xdr:to>
      <xdr:col>13</xdr:col>
      <xdr:colOff>400050</xdr:colOff>
      <xdr:row>31</xdr:row>
      <xdr:rowOff>28575</xdr:rowOff>
    </xdr:to>
    <xdr:graphicFrame macro="">
      <xdr:nvGraphicFramePr>
        <xdr:cNvPr id="3110"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dimension ref="A1:BY41"/>
  <sheetViews>
    <sheetView tabSelected="1" zoomScale="90" zoomScaleNormal="90" workbookViewId="0">
      <selection activeCell="D8" sqref="D8"/>
    </sheetView>
  </sheetViews>
  <sheetFormatPr defaultColWidth="12.42578125" defaultRowHeight="12.75"/>
  <cols>
    <col min="1" max="1" width="16.28515625" style="15" customWidth="1"/>
    <col min="2" max="2" width="12.42578125" style="15" customWidth="1"/>
    <col min="3" max="3" width="16.5703125" style="15" customWidth="1"/>
    <col min="4" max="4" width="14.140625" style="15" customWidth="1"/>
    <col min="5" max="7" width="12.42578125" style="15" customWidth="1"/>
    <col min="8" max="41" width="13" style="15" hidden="1" customWidth="1"/>
    <col min="42" max="42" width="13" style="15" customWidth="1"/>
    <col min="43" max="16384" width="12.42578125" style="15"/>
  </cols>
  <sheetData>
    <row r="1" spans="1:77" ht="18">
      <c r="A1" s="71" t="s">
        <v>104</v>
      </c>
      <c r="B1" s="71"/>
      <c r="C1" s="71"/>
      <c r="D1" s="47"/>
      <c r="E1" s="47"/>
      <c r="F1" s="72" t="s">
        <v>239</v>
      </c>
      <c r="G1" s="17"/>
      <c r="H1" s="17"/>
      <c r="I1" s="17"/>
      <c r="J1" s="17"/>
      <c r="K1" s="17"/>
      <c r="L1" s="17"/>
      <c r="M1" s="17"/>
      <c r="N1" s="17"/>
      <c r="O1" s="17"/>
      <c r="P1" s="17"/>
      <c r="Q1" s="17"/>
      <c r="R1" s="17"/>
      <c r="S1" s="17"/>
      <c r="T1" s="17"/>
      <c r="U1" s="17"/>
      <c r="V1" s="17"/>
      <c r="W1" s="17"/>
      <c r="X1" s="17"/>
      <c r="Y1" s="17"/>
      <c r="Z1" s="17"/>
      <c r="AA1" s="17"/>
      <c r="AB1" s="17"/>
      <c r="AC1" s="17"/>
      <c r="AD1" s="17"/>
      <c r="AE1" s="17"/>
      <c r="AF1" s="17"/>
      <c r="AG1" s="17"/>
      <c r="AH1" s="17"/>
      <c r="AI1" s="17"/>
      <c r="AJ1" s="17"/>
      <c r="AK1" s="17"/>
      <c r="AL1" s="17"/>
      <c r="AM1" s="17"/>
      <c r="AN1" s="17"/>
      <c r="AO1" s="17"/>
      <c r="AP1" s="17"/>
    </row>
    <row r="2" spans="1:77" ht="18" customHeight="1">
      <c r="A2" s="73" t="s">
        <v>235</v>
      </c>
      <c r="B2" s="74"/>
      <c r="C2" s="74"/>
      <c r="D2" s="74"/>
      <c r="E2" s="74"/>
      <c r="F2" s="47"/>
      <c r="G2" s="17"/>
      <c r="H2" s="17"/>
      <c r="I2" s="17"/>
      <c r="J2" s="17"/>
      <c r="K2" s="17"/>
      <c r="L2" s="17"/>
      <c r="M2" s="17"/>
      <c r="N2" s="17"/>
      <c r="O2" s="17"/>
      <c r="P2" s="17"/>
      <c r="Q2" s="17"/>
      <c r="R2" s="17"/>
      <c r="S2" s="17"/>
      <c r="T2" s="17"/>
      <c r="U2" s="17"/>
      <c r="V2" s="17"/>
      <c r="W2" s="17"/>
      <c r="X2" s="17"/>
      <c r="Y2" s="17"/>
      <c r="Z2" s="17"/>
      <c r="AA2" s="17"/>
      <c r="AB2" s="17"/>
      <c r="AC2" s="17"/>
      <c r="AD2" s="17"/>
      <c r="AE2" s="17"/>
      <c r="AF2" s="17"/>
      <c r="AG2" s="17"/>
      <c r="AH2" s="17"/>
      <c r="AI2" s="17"/>
      <c r="AJ2" s="17"/>
      <c r="AK2" s="17"/>
      <c r="AL2" s="17"/>
      <c r="AM2" s="17"/>
      <c r="AN2" s="17"/>
      <c r="AO2" s="17"/>
      <c r="AP2" s="17"/>
    </row>
    <row r="3" spans="1:77" ht="18" customHeight="1">
      <c r="A3" s="98" t="s">
        <v>105</v>
      </c>
      <c r="B3" s="99"/>
      <c r="C3" s="99"/>
      <c r="D3" s="99"/>
      <c r="E3" s="100"/>
      <c r="F3" s="16" t="s">
        <v>136</v>
      </c>
      <c r="G3" s="17"/>
      <c r="H3" s="17"/>
      <c r="I3" s="17"/>
      <c r="J3" s="17"/>
      <c r="K3" s="17"/>
      <c r="L3" s="17"/>
      <c r="M3" s="17"/>
      <c r="N3" s="17"/>
      <c r="O3" s="17"/>
      <c r="P3" s="17"/>
      <c r="Q3" s="17"/>
      <c r="R3" s="17"/>
      <c r="S3" s="17"/>
      <c r="T3" s="17"/>
      <c r="U3" s="17"/>
      <c r="V3" s="17"/>
      <c r="W3" s="17"/>
      <c r="X3" s="17"/>
      <c r="Y3" s="17"/>
      <c r="Z3" s="17"/>
      <c r="AA3" s="17"/>
      <c r="AB3" s="17"/>
      <c r="AC3" s="17"/>
      <c r="AD3" s="17"/>
      <c r="AE3" s="17"/>
      <c r="AF3" s="17"/>
      <c r="AG3" s="17"/>
      <c r="AH3" s="17"/>
      <c r="AI3" s="17"/>
      <c r="AJ3" s="17"/>
      <c r="AK3" s="17"/>
      <c r="AL3" s="17"/>
      <c r="AM3" s="17"/>
      <c r="AN3" s="17"/>
      <c r="AO3" s="17"/>
      <c r="AP3" s="17"/>
    </row>
    <row r="4" spans="1:77" s="54" customFormat="1" ht="12.75" customHeight="1" thickBot="1">
      <c r="A4" s="75"/>
      <c r="B4" s="75"/>
      <c r="C4" s="75"/>
      <c r="D4" s="75"/>
      <c r="E4" s="75"/>
      <c r="F4" s="76"/>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row>
    <row r="5" spans="1:77" ht="13.5" thickBot="1">
      <c r="A5" s="95" t="s">
        <v>236</v>
      </c>
      <c r="B5" s="96"/>
      <c r="C5" s="97"/>
      <c r="D5" s="47"/>
      <c r="E5" s="47"/>
      <c r="F5" s="17"/>
      <c r="G5" s="17"/>
      <c r="H5" s="17"/>
      <c r="I5" s="17"/>
      <c r="J5" s="17"/>
      <c r="K5" s="17"/>
      <c r="L5" s="17"/>
      <c r="M5" s="17"/>
      <c r="N5" s="17"/>
      <c r="O5" s="17"/>
      <c r="P5" s="17"/>
      <c r="Q5" s="17"/>
      <c r="R5" s="17"/>
      <c r="S5" s="17"/>
      <c r="T5" s="17"/>
      <c r="U5" s="17"/>
      <c r="V5" s="17"/>
      <c r="W5" s="17"/>
      <c r="X5" s="17"/>
      <c r="Y5" s="17"/>
      <c r="Z5" s="17"/>
      <c r="AA5" s="17"/>
      <c r="AB5" s="17"/>
      <c r="AC5" s="17"/>
      <c r="AD5" s="17"/>
      <c r="AE5" s="17"/>
      <c r="AF5" s="17"/>
      <c r="AG5" s="17"/>
      <c r="AH5" s="17"/>
      <c r="AI5" s="17"/>
      <c r="AJ5" s="17"/>
      <c r="AK5" s="17"/>
      <c r="AL5" s="17"/>
      <c r="AM5" s="17"/>
      <c r="AN5" s="17"/>
      <c r="AO5" s="17"/>
      <c r="AP5" s="17"/>
    </row>
    <row r="6" spans="1:77">
      <c r="A6" s="78"/>
      <c r="B6" s="78"/>
      <c r="C6" s="78"/>
      <c r="D6" s="47"/>
      <c r="E6" s="4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7"/>
      <c r="AH6" s="17"/>
      <c r="AI6" s="17"/>
      <c r="AJ6" s="17"/>
      <c r="AK6" s="17"/>
      <c r="AL6" s="17"/>
      <c r="AM6" s="17"/>
      <c r="AN6" s="17"/>
      <c r="AO6" s="17"/>
      <c r="AP6" s="17"/>
    </row>
    <row r="7" spans="1:77">
      <c r="A7" s="79" t="s">
        <v>106</v>
      </c>
      <c r="B7" s="79" t="s">
        <v>186</v>
      </c>
      <c r="C7" s="79" t="s">
        <v>107</v>
      </c>
      <c r="D7" s="79" t="s">
        <v>188</v>
      </c>
      <c r="E7" s="79"/>
      <c r="F7" s="79" t="s">
        <v>187</v>
      </c>
      <c r="G7" s="33"/>
      <c r="H7" s="17"/>
      <c r="I7" s="17"/>
      <c r="J7" s="17"/>
      <c r="K7" s="17"/>
      <c r="L7" s="17"/>
      <c r="M7" s="17"/>
      <c r="N7" s="17"/>
      <c r="O7" s="17"/>
      <c r="P7" s="17"/>
      <c r="Q7" s="17"/>
      <c r="R7" s="17"/>
      <c r="S7" s="17"/>
      <c r="T7" s="17"/>
      <c r="U7" s="17"/>
      <c r="V7" s="17"/>
      <c r="W7" s="17"/>
      <c r="X7" s="17"/>
      <c r="Y7" s="17"/>
      <c r="Z7" s="17"/>
      <c r="AA7" s="17"/>
      <c r="AB7" s="17"/>
      <c r="AC7" s="17"/>
      <c r="AD7" s="17"/>
      <c r="AE7" s="17"/>
      <c r="AF7" s="17"/>
      <c r="AG7" s="17"/>
      <c r="AH7" s="17"/>
      <c r="AI7" s="17"/>
      <c r="AJ7" s="17"/>
      <c r="AK7" s="17"/>
      <c r="AL7" s="17"/>
      <c r="AM7" s="17"/>
      <c r="AN7" s="17"/>
      <c r="AO7" s="17"/>
      <c r="AP7" s="17"/>
    </row>
    <row r="8" spans="1:77">
      <c r="A8" s="17" t="s">
        <v>108</v>
      </c>
      <c r="B8" s="17" t="s">
        <v>138</v>
      </c>
      <c r="C8" s="80">
        <f t="shared" ref="C8:C28" si="0">I8*K8+N8*P8+S8*U8+X8*Z8+AC8*AE8+AH8*AJ8+AM8*AO8</f>
        <v>16.042760000000001</v>
      </c>
      <c r="D8" s="48">
        <v>96.964699999999993</v>
      </c>
      <c r="E8" s="81" t="s">
        <v>190</v>
      </c>
      <c r="F8" s="80">
        <f t="shared" ref="F8:F28" si="1">C8*D8</f>
        <v>1555.5814105720001</v>
      </c>
      <c r="G8" s="17" t="s">
        <v>182</v>
      </c>
      <c r="H8" s="82" t="s">
        <v>139</v>
      </c>
      <c r="I8" s="17">
        <v>1</v>
      </c>
      <c r="J8" s="17"/>
      <c r="K8" s="80">
        <v>12.010999999999999</v>
      </c>
      <c r="L8" s="17"/>
      <c r="M8" s="82" t="s">
        <v>140</v>
      </c>
      <c r="N8" s="17">
        <v>4</v>
      </c>
      <c r="O8" s="17"/>
      <c r="P8" s="80">
        <v>1.0079400000000001</v>
      </c>
      <c r="Q8" s="17"/>
      <c r="R8" s="17" t="s">
        <v>141</v>
      </c>
      <c r="S8" s="17">
        <v>0</v>
      </c>
      <c r="T8" s="17"/>
      <c r="U8" s="80">
        <v>15.9994</v>
      </c>
      <c r="V8" s="17"/>
      <c r="W8" s="17" t="s">
        <v>142</v>
      </c>
      <c r="X8" s="17">
        <v>0</v>
      </c>
      <c r="Y8" s="17"/>
      <c r="Z8" s="80">
        <v>32.066000000000003</v>
      </c>
      <c r="AA8" s="17"/>
      <c r="AB8" s="17" t="s">
        <v>143</v>
      </c>
      <c r="AC8" s="17">
        <v>0</v>
      </c>
      <c r="AD8" s="17"/>
      <c r="AE8" s="80">
        <v>14.006740000000001</v>
      </c>
      <c r="AF8" s="17"/>
      <c r="AG8" s="17" t="s">
        <v>144</v>
      </c>
      <c r="AH8" s="17">
        <v>0</v>
      </c>
      <c r="AI8" s="17"/>
      <c r="AJ8" s="80">
        <v>4.0026020000000004</v>
      </c>
      <c r="AK8" s="17"/>
      <c r="AL8" s="17" t="s">
        <v>145</v>
      </c>
      <c r="AM8" s="17">
        <v>0</v>
      </c>
      <c r="AN8" s="17"/>
      <c r="AO8" s="80">
        <v>39.948</v>
      </c>
      <c r="AP8" s="17"/>
      <c r="BY8"/>
    </row>
    <row r="9" spans="1:77">
      <c r="A9" s="17" t="s">
        <v>109</v>
      </c>
      <c r="B9" s="17" t="s">
        <v>146</v>
      </c>
      <c r="C9" s="80">
        <f t="shared" si="0"/>
        <v>30.06964</v>
      </c>
      <c r="D9" s="48">
        <v>1.5913999999999999</v>
      </c>
      <c r="E9" s="81" t="s">
        <v>190</v>
      </c>
      <c r="F9" s="80">
        <f t="shared" si="1"/>
        <v>47.852825095999997</v>
      </c>
      <c r="G9" s="17" t="s">
        <v>182</v>
      </c>
      <c r="H9" s="82" t="s">
        <v>139</v>
      </c>
      <c r="I9" s="17">
        <v>2</v>
      </c>
      <c r="J9" s="17"/>
      <c r="K9" s="80">
        <f>K8</f>
        <v>12.010999999999999</v>
      </c>
      <c r="L9" s="17"/>
      <c r="M9" s="82" t="s">
        <v>140</v>
      </c>
      <c r="N9" s="17">
        <v>6</v>
      </c>
      <c r="O9" s="17"/>
      <c r="P9" s="80">
        <f>P8</f>
        <v>1.0079400000000001</v>
      </c>
      <c r="Q9" s="17"/>
      <c r="R9" s="17" t="s">
        <v>141</v>
      </c>
      <c r="S9" s="17">
        <v>0</v>
      </c>
      <c r="T9" s="17"/>
      <c r="U9" s="80">
        <f>U8</f>
        <v>15.9994</v>
      </c>
      <c r="V9" s="17"/>
      <c r="W9" s="17" t="s">
        <v>142</v>
      </c>
      <c r="X9" s="17">
        <v>0</v>
      </c>
      <c r="Y9" s="17"/>
      <c r="Z9" s="80">
        <f>Z8</f>
        <v>32.066000000000003</v>
      </c>
      <c r="AA9" s="17"/>
      <c r="AB9" s="17" t="s">
        <v>143</v>
      </c>
      <c r="AC9" s="17">
        <v>0</v>
      </c>
      <c r="AD9" s="17"/>
      <c r="AE9" s="80">
        <f>AE8</f>
        <v>14.006740000000001</v>
      </c>
      <c r="AF9" s="17"/>
      <c r="AG9" s="17" t="s">
        <v>144</v>
      </c>
      <c r="AH9" s="17">
        <v>0</v>
      </c>
      <c r="AI9" s="17"/>
      <c r="AJ9" s="80">
        <f>AJ8</f>
        <v>4.0026020000000004</v>
      </c>
      <c r="AK9" s="17"/>
      <c r="AL9" s="17" t="s">
        <v>145</v>
      </c>
      <c r="AM9" s="17">
        <v>0</v>
      </c>
      <c r="AN9" s="17"/>
      <c r="AO9" s="80">
        <f>AO8</f>
        <v>39.948</v>
      </c>
      <c r="AP9" s="17"/>
      <c r="BY9"/>
    </row>
    <row r="10" spans="1:77">
      <c r="A10" s="17" t="s">
        <v>110</v>
      </c>
      <c r="B10" s="17" t="s">
        <v>147</v>
      </c>
      <c r="C10" s="80">
        <f t="shared" si="0"/>
        <v>44.096519999999998</v>
      </c>
      <c r="D10" s="48">
        <v>0.36020000000000002</v>
      </c>
      <c r="E10" s="81" t="s">
        <v>190</v>
      </c>
      <c r="F10" s="80">
        <f t="shared" si="1"/>
        <v>15.883566504000001</v>
      </c>
      <c r="G10" s="17" t="s">
        <v>182</v>
      </c>
      <c r="H10" s="82" t="s">
        <v>139</v>
      </c>
      <c r="I10" s="17">
        <v>3</v>
      </c>
      <c r="J10" s="17"/>
      <c r="K10" s="80">
        <f t="shared" ref="K10:K28" si="2">K9</f>
        <v>12.010999999999999</v>
      </c>
      <c r="L10" s="17"/>
      <c r="M10" s="82" t="s">
        <v>140</v>
      </c>
      <c r="N10" s="17">
        <v>8</v>
      </c>
      <c r="O10" s="17"/>
      <c r="P10" s="80">
        <f t="shared" ref="P10:P28" si="3">P9</f>
        <v>1.0079400000000001</v>
      </c>
      <c r="Q10" s="17"/>
      <c r="R10" s="17" t="s">
        <v>141</v>
      </c>
      <c r="S10" s="17">
        <v>0</v>
      </c>
      <c r="T10" s="17"/>
      <c r="U10" s="80">
        <f t="shared" ref="U10:U28" si="4">U9</f>
        <v>15.9994</v>
      </c>
      <c r="V10" s="17"/>
      <c r="W10" s="17" t="s">
        <v>142</v>
      </c>
      <c r="X10" s="17">
        <v>0</v>
      </c>
      <c r="Y10" s="17"/>
      <c r="Z10" s="80">
        <f t="shared" ref="Z10:Z28" si="5">Z9</f>
        <v>32.066000000000003</v>
      </c>
      <c r="AA10" s="17"/>
      <c r="AB10" s="17" t="s">
        <v>143</v>
      </c>
      <c r="AC10" s="17">
        <v>0</v>
      </c>
      <c r="AD10" s="17"/>
      <c r="AE10" s="80">
        <f t="shared" ref="AE10:AE28" si="6">AE9</f>
        <v>14.006740000000001</v>
      </c>
      <c r="AF10" s="17"/>
      <c r="AG10" s="17" t="s">
        <v>144</v>
      </c>
      <c r="AH10" s="17">
        <v>0</v>
      </c>
      <c r="AI10" s="17"/>
      <c r="AJ10" s="80">
        <f t="shared" ref="AJ10:AJ28" si="7">AJ9</f>
        <v>4.0026020000000004</v>
      </c>
      <c r="AK10" s="17"/>
      <c r="AL10" s="17" t="s">
        <v>145</v>
      </c>
      <c r="AM10" s="17">
        <v>0</v>
      </c>
      <c r="AN10" s="17"/>
      <c r="AO10" s="80">
        <f t="shared" ref="AO10:AO28" si="8">AO9</f>
        <v>39.948</v>
      </c>
      <c r="AP10" s="17"/>
      <c r="BY10"/>
    </row>
    <row r="11" spans="1:77">
      <c r="A11" s="17" t="s">
        <v>148</v>
      </c>
      <c r="B11" s="17" t="s">
        <v>149</v>
      </c>
      <c r="C11" s="80">
        <f t="shared" si="0"/>
        <v>58.123399999999997</v>
      </c>
      <c r="D11" s="48">
        <v>5.28E-2</v>
      </c>
      <c r="E11" s="81" t="s">
        <v>190</v>
      </c>
      <c r="F11" s="80">
        <f t="shared" si="1"/>
        <v>3.06891552</v>
      </c>
      <c r="G11" s="17" t="s">
        <v>182</v>
      </c>
      <c r="H11" s="82" t="s">
        <v>139</v>
      </c>
      <c r="I11" s="17">
        <v>4</v>
      </c>
      <c r="J11" s="17"/>
      <c r="K11" s="80">
        <f t="shared" si="2"/>
        <v>12.010999999999999</v>
      </c>
      <c r="L11" s="17"/>
      <c r="M11" s="82" t="s">
        <v>140</v>
      </c>
      <c r="N11" s="17">
        <v>10</v>
      </c>
      <c r="O11" s="17"/>
      <c r="P11" s="80">
        <f t="shared" si="3"/>
        <v>1.0079400000000001</v>
      </c>
      <c r="Q11" s="17"/>
      <c r="R11" s="17" t="s">
        <v>141</v>
      </c>
      <c r="S11" s="17">
        <v>0</v>
      </c>
      <c r="T11" s="17"/>
      <c r="U11" s="80">
        <f t="shared" si="4"/>
        <v>15.9994</v>
      </c>
      <c r="V11" s="17"/>
      <c r="W11" s="17" t="s">
        <v>142</v>
      </c>
      <c r="X11" s="17">
        <v>0</v>
      </c>
      <c r="Y11" s="17"/>
      <c r="Z11" s="80">
        <f t="shared" si="5"/>
        <v>32.066000000000003</v>
      </c>
      <c r="AA11" s="17"/>
      <c r="AB11" s="17" t="s">
        <v>143</v>
      </c>
      <c r="AC11" s="17">
        <v>0</v>
      </c>
      <c r="AD11" s="17"/>
      <c r="AE11" s="80">
        <f t="shared" si="6"/>
        <v>14.006740000000001</v>
      </c>
      <c r="AF11" s="17"/>
      <c r="AG11" s="17" t="s">
        <v>144</v>
      </c>
      <c r="AH11" s="17">
        <v>0</v>
      </c>
      <c r="AI11" s="17"/>
      <c r="AJ11" s="80">
        <f t="shared" si="7"/>
        <v>4.0026020000000004</v>
      </c>
      <c r="AK11" s="17"/>
      <c r="AL11" s="17" t="s">
        <v>145</v>
      </c>
      <c r="AM11" s="17">
        <v>0</v>
      </c>
      <c r="AN11" s="17"/>
      <c r="AO11" s="80">
        <f t="shared" si="8"/>
        <v>39.948</v>
      </c>
      <c r="AP11" s="17"/>
      <c r="BY11"/>
    </row>
    <row r="12" spans="1:77">
      <c r="A12" s="17" t="s">
        <v>150</v>
      </c>
      <c r="B12" s="17" t="s">
        <v>151</v>
      </c>
      <c r="C12" s="80">
        <f t="shared" si="0"/>
        <v>58.123399999999997</v>
      </c>
      <c r="D12" s="48">
        <v>6.8400000000000002E-2</v>
      </c>
      <c r="E12" s="81" t="s">
        <v>190</v>
      </c>
      <c r="F12" s="80">
        <f t="shared" si="1"/>
        <v>3.97564056</v>
      </c>
      <c r="G12" s="17" t="s">
        <v>182</v>
      </c>
      <c r="H12" s="82" t="s">
        <v>139</v>
      </c>
      <c r="I12" s="17">
        <v>4</v>
      </c>
      <c r="J12" s="17"/>
      <c r="K12" s="80">
        <f t="shared" si="2"/>
        <v>12.010999999999999</v>
      </c>
      <c r="L12" s="17"/>
      <c r="M12" s="82" t="s">
        <v>140</v>
      </c>
      <c r="N12" s="17">
        <v>10</v>
      </c>
      <c r="O12" s="17"/>
      <c r="P12" s="80">
        <f t="shared" si="3"/>
        <v>1.0079400000000001</v>
      </c>
      <c r="Q12" s="17"/>
      <c r="R12" s="17" t="s">
        <v>141</v>
      </c>
      <c r="S12" s="17">
        <v>0</v>
      </c>
      <c r="T12" s="17"/>
      <c r="U12" s="80">
        <f t="shared" si="4"/>
        <v>15.9994</v>
      </c>
      <c r="V12" s="17"/>
      <c r="W12" s="17" t="s">
        <v>142</v>
      </c>
      <c r="X12" s="17">
        <v>0</v>
      </c>
      <c r="Y12" s="17"/>
      <c r="Z12" s="80">
        <f t="shared" si="5"/>
        <v>32.066000000000003</v>
      </c>
      <c r="AA12" s="17"/>
      <c r="AB12" s="17" t="s">
        <v>143</v>
      </c>
      <c r="AC12" s="17">
        <v>0</v>
      </c>
      <c r="AD12" s="17"/>
      <c r="AE12" s="80">
        <f t="shared" si="6"/>
        <v>14.006740000000001</v>
      </c>
      <c r="AF12" s="17"/>
      <c r="AG12" s="17" t="s">
        <v>144</v>
      </c>
      <c r="AH12" s="17">
        <v>0</v>
      </c>
      <c r="AI12" s="17"/>
      <c r="AJ12" s="80">
        <f t="shared" si="7"/>
        <v>4.0026020000000004</v>
      </c>
      <c r="AK12" s="17"/>
      <c r="AL12" s="17" t="s">
        <v>145</v>
      </c>
      <c r="AM12" s="17">
        <v>0</v>
      </c>
      <c r="AN12" s="17"/>
      <c r="AO12" s="80">
        <f t="shared" si="8"/>
        <v>39.948</v>
      </c>
      <c r="AP12" s="17"/>
      <c r="BY12"/>
    </row>
    <row r="13" spans="1:77">
      <c r="A13" s="17" t="s">
        <v>152</v>
      </c>
      <c r="B13" s="17" t="s">
        <v>153</v>
      </c>
      <c r="C13" s="80">
        <f t="shared" si="0"/>
        <v>72.150279999999995</v>
      </c>
      <c r="D13" s="48">
        <v>1.8100000000000002E-2</v>
      </c>
      <c r="E13" s="81" t="s">
        <v>190</v>
      </c>
      <c r="F13" s="80">
        <f t="shared" si="1"/>
        <v>1.305920068</v>
      </c>
      <c r="G13" s="17" t="s">
        <v>182</v>
      </c>
      <c r="H13" s="82" t="s">
        <v>139</v>
      </c>
      <c r="I13" s="17">
        <v>5</v>
      </c>
      <c r="J13" s="17"/>
      <c r="K13" s="80">
        <f t="shared" si="2"/>
        <v>12.010999999999999</v>
      </c>
      <c r="L13" s="17"/>
      <c r="M13" s="82" t="s">
        <v>140</v>
      </c>
      <c r="N13" s="17">
        <v>12</v>
      </c>
      <c r="O13" s="17"/>
      <c r="P13" s="80">
        <f t="shared" si="3"/>
        <v>1.0079400000000001</v>
      </c>
      <c r="Q13" s="17"/>
      <c r="R13" s="17" t="s">
        <v>141</v>
      </c>
      <c r="S13" s="17">
        <v>0</v>
      </c>
      <c r="T13" s="17"/>
      <c r="U13" s="80">
        <f t="shared" si="4"/>
        <v>15.9994</v>
      </c>
      <c r="V13" s="17"/>
      <c r="W13" s="17" t="s">
        <v>142</v>
      </c>
      <c r="X13" s="17">
        <v>0</v>
      </c>
      <c r="Y13" s="17"/>
      <c r="Z13" s="80">
        <f t="shared" si="5"/>
        <v>32.066000000000003</v>
      </c>
      <c r="AA13" s="17"/>
      <c r="AB13" s="17" t="s">
        <v>143</v>
      </c>
      <c r="AC13" s="17">
        <v>0</v>
      </c>
      <c r="AD13" s="17"/>
      <c r="AE13" s="80">
        <f t="shared" si="6"/>
        <v>14.006740000000001</v>
      </c>
      <c r="AF13" s="17"/>
      <c r="AG13" s="17" t="s">
        <v>144</v>
      </c>
      <c r="AH13" s="17">
        <v>0</v>
      </c>
      <c r="AI13" s="17"/>
      <c r="AJ13" s="80">
        <f t="shared" si="7"/>
        <v>4.0026020000000004</v>
      </c>
      <c r="AK13" s="17"/>
      <c r="AL13" s="17" t="s">
        <v>145</v>
      </c>
      <c r="AM13" s="17">
        <v>0</v>
      </c>
      <c r="AN13" s="17"/>
      <c r="AO13" s="80">
        <f t="shared" si="8"/>
        <v>39.948</v>
      </c>
      <c r="AP13" s="17"/>
      <c r="BY13"/>
    </row>
    <row r="14" spans="1:77">
      <c r="A14" s="17" t="s">
        <v>154</v>
      </c>
      <c r="B14" s="17" t="s">
        <v>155</v>
      </c>
      <c r="C14" s="80">
        <f t="shared" si="0"/>
        <v>72.150279999999995</v>
      </c>
      <c r="D14" s="48">
        <v>1.4999999999999999E-2</v>
      </c>
      <c r="E14" s="81" t="s">
        <v>190</v>
      </c>
      <c r="F14" s="80">
        <f t="shared" si="1"/>
        <v>1.0822541999999999</v>
      </c>
      <c r="G14" s="17" t="s">
        <v>182</v>
      </c>
      <c r="H14" s="82" t="s">
        <v>139</v>
      </c>
      <c r="I14" s="17">
        <v>5</v>
      </c>
      <c r="J14" s="17"/>
      <c r="K14" s="80">
        <f t="shared" si="2"/>
        <v>12.010999999999999</v>
      </c>
      <c r="L14" s="17"/>
      <c r="M14" s="82" t="s">
        <v>140</v>
      </c>
      <c r="N14" s="17">
        <v>12</v>
      </c>
      <c r="O14" s="17"/>
      <c r="P14" s="80">
        <f t="shared" si="3"/>
        <v>1.0079400000000001</v>
      </c>
      <c r="Q14" s="17"/>
      <c r="R14" s="17" t="s">
        <v>141</v>
      </c>
      <c r="S14" s="17">
        <v>0</v>
      </c>
      <c r="T14" s="17"/>
      <c r="U14" s="80">
        <f t="shared" si="4"/>
        <v>15.9994</v>
      </c>
      <c r="V14" s="17"/>
      <c r="W14" s="17" t="s">
        <v>142</v>
      </c>
      <c r="X14" s="17">
        <v>0</v>
      </c>
      <c r="Y14" s="17"/>
      <c r="Z14" s="80">
        <f t="shared" si="5"/>
        <v>32.066000000000003</v>
      </c>
      <c r="AA14" s="17"/>
      <c r="AB14" s="17" t="s">
        <v>143</v>
      </c>
      <c r="AC14" s="17">
        <v>0</v>
      </c>
      <c r="AD14" s="17"/>
      <c r="AE14" s="80">
        <f t="shared" si="6"/>
        <v>14.006740000000001</v>
      </c>
      <c r="AF14" s="17"/>
      <c r="AG14" s="17" t="s">
        <v>144</v>
      </c>
      <c r="AH14" s="17">
        <v>0</v>
      </c>
      <c r="AI14" s="17"/>
      <c r="AJ14" s="80">
        <f t="shared" si="7"/>
        <v>4.0026020000000004</v>
      </c>
      <c r="AK14" s="17"/>
      <c r="AL14" s="17" t="s">
        <v>145</v>
      </c>
      <c r="AM14" s="17">
        <v>0</v>
      </c>
      <c r="AN14" s="17"/>
      <c r="AO14" s="80">
        <f t="shared" si="8"/>
        <v>39.948</v>
      </c>
      <c r="AP14" s="17"/>
      <c r="BY14"/>
    </row>
    <row r="15" spans="1:77">
      <c r="A15" s="17" t="s">
        <v>156</v>
      </c>
      <c r="B15" s="17" t="s">
        <v>157</v>
      </c>
      <c r="C15" s="80">
        <f t="shared" si="0"/>
        <v>86.177160000000001</v>
      </c>
      <c r="D15" s="48">
        <v>2.3099999999999999E-2</v>
      </c>
      <c r="E15" s="81" t="s">
        <v>190</v>
      </c>
      <c r="F15" s="80">
        <f t="shared" si="1"/>
        <v>1.990692396</v>
      </c>
      <c r="G15" s="17" t="s">
        <v>182</v>
      </c>
      <c r="H15" s="82" t="s">
        <v>139</v>
      </c>
      <c r="I15" s="17">
        <v>6</v>
      </c>
      <c r="J15" s="17"/>
      <c r="K15" s="80">
        <f t="shared" si="2"/>
        <v>12.010999999999999</v>
      </c>
      <c r="L15" s="17"/>
      <c r="M15" s="82" t="s">
        <v>140</v>
      </c>
      <c r="N15" s="17">
        <v>14</v>
      </c>
      <c r="O15" s="17"/>
      <c r="P15" s="80">
        <f t="shared" si="3"/>
        <v>1.0079400000000001</v>
      </c>
      <c r="Q15" s="17"/>
      <c r="R15" s="17" t="s">
        <v>141</v>
      </c>
      <c r="S15" s="17">
        <v>0</v>
      </c>
      <c r="T15" s="17"/>
      <c r="U15" s="80">
        <f t="shared" si="4"/>
        <v>15.9994</v>
      </c>
      <c r="V15" s="17"/>
      <c r="W15" s="17" t="s">
        <v>142</v>
      </c>
      <c r="X15" s="17">
        <v>0</v>
      </c>
      <c r="Y15" s="17"/>
      <c r="Z15" s="80">
        <f t="shared" si="5"/>
        <v>32.066000000000003</v>
      </c>
      <c r="AA15" s="17"/>
      <c r="AB15" s="17" t="s">
        <v>143</v>
      </c>
      <c r="AC15" s="17">
        <v>0</v>
      </c>
      <c r="AD15" s="17"/>
      <c r="AE15" s="80">
        <f t="shared" si="6"/>
        <v>14.006740000000001</v>
      </c>
      <c r="AF15" s="17"/>
      <c r="AG15" s="17" t="s">
        <v>144</v>
      </c>
      <c r="AH15" s="17">
        <v>0</v>
      </c>
      <c r="AI15" s="17"/>
      <c r="AJ15" s="80">
        <f t="shared" si="7"/>
        <v>4.0026020000000004</v>
      </c>
      <c r="AK15" s="17"/>
      <c r="AL15" s="17" t="s">
        <v>145</v>
      </c>
      <c r="AM15" s="17">
        <v>0</v>
      </c>
      <c r="AN15" s="17"/>
      <c r="AO15" s="80">
        <f t="shared" si="8"/>
        <v>39.948</v>
      </c>
      <c r="AP15" s="17"/>
      <c r="BY15"/>
    </row>
    <row r="16" spans="1:77">
      <c r="A16" s="17" t="s">
        <v>158</v>
      </c>
      <c r="B16" s="17" t="s">
        <v>159</v>
      </c>
      <c r="C16" s="80">
        <f t="shared" si="0"/>
        <v>100.20403999999999</v>
      </c>
      <c r="D16" s="48">
        <v>0</v>
      </c>
      <c r="E16" s="81" t="s">
        <v>190</v>
      </c>
      <c r="F16" s="80">
        <f t="shared" si="1"/>
        <v>0</v>
      </c>
      <c r="G16" s="17" t="s">
        <v>182</v>
      </c>
      <c r="H16" s="82" t="s">
        <v>139</v>
      </c>
      <c r="I16" s="17">
        <v>7</v>
      </c>
      <c r="J16" s="17"/>
      <c r="K16" s="80">
        <f t="shared" si="2"/>
        <v>12.010999999999999</v>
      </c>
      <c r="L16" s="17"/>
      <c r="M16" s="82" t="s">
        <v>140</v>
      </c>
      <c r="N16" s="17">
        <v>16</v>
      </c>
      <c r="O16" s="17"/>
      <c r="P16" s="80">
        <f t="shared" si="3"/>
        <v>1.0079400000000001</v>
      </c>
      <c r="Q16" s="17"/>
      <c r="R16" s="17" t="s">
        <v>141</v>
      </c>
      <c r="S16" s="17">
        <v>0</v>
      </c>
      <c r="T16" s="17"/>
      <c r="U16" s="80">
        <f t="shared" si="4"/>
        <v>15.9994</v>
      </c>
      <c r="V16" s="17"/>
      <c r="W16" s="17" t="s">
        <v>142</v>
      </c>
      <c r="X16" s="17">
        <v>0</v>
      </c>
      <c r="Y16" s="17"/>
      <c r="Z16" s="80">
        <f t="shared" si="5"/>
        <v>32.066000000000003</v>
      </c>
      <c r="AA16" s="17"/>
      <c r="AB16" s="17" t="s">
        <v>143</v>
      </c>
      <c r="AC16" s="17">
        <v>0</v>
      </c>
      <c r="AD16" s="17"/>
      <c r="AE16" s="80">
        <f t="shared" si="6"/>
        <v>14.006740000000001</v>
      </c>
      <c r="AF16" s="17"/>
      <c r="AG16" s="17" t="s">
        <v>144</v>
      </c>
      <c r="AH16" s="17">
        <v>0</v>
      </c>
      <c r="AI16" s="17"/>
      <c r="AJ16" s="80">
        <f t="shared" si="7"/>
        <v>4.0026020000000004</v>
      </c>
      <c r="AK16" s="17"/>
      <c r="AL16" s="17" t="s">
        <v>145</v>
      </c>
      <c r="AM16" s="17">
        <v>0</v>
      </c>
      <c r="AN16" s="17"/>
      <c r="AO16" s="80">
        <f t="shared" si="8"/>
        <v>39.948</v>
      </c>
      <c r="AP16" s="17"/>
      <c r="BY16"/>
    </row>
    <row r="17" spans="1:77">
      <c r="A17" s="17" t="s">
        <v>160</v>
      </c>
      <c r="B17" s="17" t="s">
        <v>161</v>
      </c>
      <c r="C17" s="80">
        <f t="shared" si="0"/>
        <v>114.23092</v>
      </c>
      <c r="D17" s="48">
        <v>0</v>
      </c>
      <c r="E17" s="81" t="s">
        <v>190</v>
      </c>
      <c r="F17" s="80">
        <f t="shared" si="1"/>
        <v>0</v>
      </c>
      <c r="G17" s="17" t="s">
        <v>182</v>
      </c>
      <c r="H17" s="82" t="s">
        <v>139</v>
      </c>
      <c r="I17" s="17">
        <v>8</v>
      </c>
      <c r="J17" s="17"/>
      <c r="K17" s="80">
        <f t="shared" si="2"/>
        <v>12.010999999999999</v>
      </c>
      <c r="L17" s="17"/>
      <c r="M17" s="82" t="s">
        <v>140</v>
      </c>
      <c r="N17" s="17">
        <v>18</v>
      </c>
      <c r="O17" s="17"/>
      <c r="P17" s="80">
        <f t="shared" si="3"/>
        <v>1.0079400000000001</v>
      </c>
      <c r="Q17" s="17"/>
      <c r="R17" s="17" t="s">
        <v>141</v>
      </c>
      <c r="S17" s="17">
        <v>0</v>
      </c>
      <c r="T17" s="17"/>
      <c r="U17" s="80">
        <f t="shared" si="4"/>
        <v>15.9994</v>
      </c>
      <c r="V17" s="17"/>
      <c r="W17" s="17" t="s">
        <v>142</v>
      </c>
      <c r="X17" s="17">
        <v>0</v>
      </c>
      <c r="Y17" s="17"/>
      <c r="Z17" s="80">
        <f t="shared" si="5"/>
        <v>32.066000000000003</v>
      </c>
      <c r="AA17" s="17"/>
      <c r="AB17" s="17" t="s">
        <v>143</v>
      </c>
      <c r="AC17" s="17">
        <v>0</v>
      </c>
      <c r="AD17" s="17"/>
      <c r="AE17" s="80">
        <f t="shared" si="6"/>
        <v>14.006740000000001</v>
      </c>
      <c r="AF17" s="17"/>
      <c r="AG17" s="17" t="s">
        <v>144</v>
      </c>
      <c r="AH17" s="17">
        <v>0</v>
      </c>
      <c r="AI17" s="17"/>
      <c r="AJ17" s="80">
        <f t="shared" si="7"/>
        <v>4.0026020000000004</v>
      </c>
      <c r="AK17" s="17"/>
      <c r="AL17" s="17" t="s">
        <v>145</v>
      </c>
      <c r="AM17" s="17">
        <v>0</v>
      </c>
      <c r="AN17" s="17"/>
      <c r="AO17" s="80">
        <f t="shared" si="8"/>
        <v>39.948</v>
      </c>
      <c r="AP17" s="17"/>
      <c r="BY17"/>
    </row>
    <row r="18" spans="1:77">
      <c r="A18" s="17" t="s">
        <v>162</v>
      </c>
      <c r="B18" s="17" t="s">
        <v>163</v>
      </c>
      <c r="C18" s="80">
        <f t="shared" si="0"/>
        <v>128.25779999999997</v>
      </c>
      <c r="D18" s="48">
        <v>0</v>
      </c>
      <c r="E18" s="81" t="s">
        <v>190</v>
      </c>
      <c r="F18" s="80">
        <f t="shared" si="1"/>
        <v>0</v>
      </c>
      <c r="G18" s="17" t="s">
        <v>182</v>
      </c>
      <c r="H18" s="82" t="s">
        <v>139</v>
      </c>
      <c r="I18" s="17">
        <v>9</v>
      </c>
      <c r="J18" s="17"/>
      <c r="K18" s="80">
        <f t="shared" si="2"/>
        <v>12.010999999999999</v>
      </c>
      <c r="L18" s="17"/>
      <c r="M18" s="82" t="s">
        <v>140</v>
      </c>
      <c r="N18" s="17">
        <v>20</v>
      </c>
      <c r="O18" s="17"/>
      <c r="P18" s="80">
        <f t="shared" si="3"/>
        <v>1.0079400000000001</v>
      </c>
      <c r="Q18" s="17"/>
      <c r="R18" s="17" t="s">
        <v>141</v>
      </c>
      <c r="S18" s="17">
        <v>0</v>
      </c>
      <c r="T18" s="17"/>
      <c r="U18" s="80">
        <f t="shared" si="4"/>
        <v>15.9994</v>
      </c>
      <c r="V18" s="17"/>
      <c r="W18" s="17" t="s">
        <v>142</v>
      </c>
      <c r="X18" s="17">
        <v>0</v>
      </c>
      <c r="Y18" s="17"/>
      <c r="Z18" s="80">
        <f t="shared" si="5"/>
        <v>32.066000000000003</v>
      </c>
      <c r="AA18" s="17"/>
      <c r="AB18" s="17" t="s">
        <v>143</v>
      </c>
      <c r="AC18" s="17">
        <v>0</v>
      </c>
      <c r="AD18" s="17"/>
      <c r="AE18" s="80">
        <f t="shared" si="6"/>
        <v>14.006740000000001</v>
      </c>
      <c r="AF18" s="17"/>
      <c r="AG18" s="17" t="s">
        <v>144</v>
      </c>
      <c r="AH18" s="17">
        <v>0</v>
      </c>
      <c r="AI18" s="17"/>
      <c r="AJ18" s="80">
        <f t="shared" si="7"/>
        <v>4.0026020000000004</v>
      </c>
      <c r="AK18" s="17"/>
      <c r="AL18" s="17" t="s">
        <v>145</v>
      </c>
      <c r="AM18" s="17">
        <v>0</v>
      </c>
      <c r="AN18" s="17"/>
      <c r="AO18" s="80">
        <f t="shared" si="8"/>
        <v>39.948</v>
      </c>
      <c r="AP18" s="17"/>
      <c r="BY18"/>
    </row>
    <row r="19" spans="1:77">
      <c r="A19" s="17" t="s">
        <v>164</v>
      </c>
      <c r="B19" s="17" t="s">
        <v>165</v>
      </c>
      <c r="C19" s="80">
        <f t="shared" si="0"/>
        <v>142.28467999999998</v>
      </c>
      <c r="D19" s="48">
        <v>0</v>
      </c>
      <c r="E19" s="81" t="s">
        <v>190</v>
      </c>
      <c r="F19" s="80">
        <f t="shared" si="1"/>
        <v>0</v>
      </c>
      <c r="G19" s="17" t="s">
        <v>182</v>
      </c>
      <c r="H19" s="82" t="s">
        <v>139</v>
      </c>
      <c r="I19" s="17">
        <v>10</v>
      </c>
      <c r="J19" s="17"/>
      <c r="K19" s="80">
        <f t="shared" si="2"/>
        <v>12.010999999999999</v>
      </c>
      <c r="L19" s="17"/>
      <c r="M19" s="82" t="s">
        <v>140</v>
      </c>
      <c r="N19" s="17">
        <v>22</v>
      </c>
      <c r="O19" s="17"/>
      <c r="P19" s="80">
        <f t="shared" si="3"/>
        <v>1.0079400000000001</v>
      </c>
      <c r="Q19" s="17"/>
      <c r="R19" s="17" t="s">
        <v>141</v>
      </c>
      <c r="S19" s="17">
        <v>0</v>
      </c>
      <c r="T19" s="17"/>
      <c r="U19" s="80">
        <f t="shared" si="4"/>
        <v>15.9994</v>
      </c>
      <c r="V19" s="17"/>
      <c r="W19" s="17" t="s">
        <v>142</v>
      </c>
      <c r="X19" s="17">
        <v>0</v>
      </c>
      <c r="Y19" s="17"/>
      <c r="Z19" s="80">
        <f t="shared" si="5"/>
        <v>32.066000000000003</v>
      </c>
      <c r="AA19" s="17"/>
      <c r="AB19" s="17" t="s">
        <v>143</v>
      </c>
      <c r="AC19" s="17">
        <v>0</v>
      </c>
      <c r="AD19" s="17"/>
      <c r="AE19" s="80">
        <f t="shared" si="6"/>
        <v>14.006740000000001</v>
      </c>
      <c r="AF19" s="17"/>
      <c r="AG19" s="17" t="s">
        <v>144</v>
      </c>
      <c r="AH19" s="17">
        <v>0</v>
      </c>
      <c r="AI19" s="17"/>
      <c r="AJ19" s="80">
        <f t="shared" si="7"/>
        <v>4.0026020000000004</v>
      </c>
      <c r="AK19" s="17"/>
      <c r="AL19" s="17" t="s">
        <v>145</v>
      </c>
      <c r="AM19" s="17">
        <v>0</v>
      </c>
      <c r="AN19" s="17"/>
      <c r="AO19" s="80">
        <f t="shared" si="8"/>
        <v>39.948</v>
      </c>
      <c r="AP19" s="17"/>
      <c r="BY19"/>
    </row>
    <row r="20" spans="1:77">
      <c r="A20" s="17" t="s">
        <v>166</v>
      </c>
      <c r="B20" s="17" t="s">
        <v>167</v>
      </c>
      <c r="C20" s="80">
        <f t="shared" si="0"/>
        <v>2.0158800000000001</v>
      </c>
      <c r="D20" s="48">
        <v>0</v>
      </c>
      <c r="E20" s="81" t="s">
        <v>190</v>
      </c>
      <c r="F20" s="80">
        <f t="shared" si="1"/>
        <v>0</v>
      </c>
      <c r="G20" s="17" t="s">
        <v>182</v>
      </c>
      <c r="H20" s="82" t="s">
        <v>139</v>
      </c>
      <c r="I20" s="17">
        <v>0</v>
      </c>
      <c r="J20" s="17"/>
      <c r="K20" s="80">
        <f t="shared" si="2"/>
        <v>12.010999999999999</v>
      </c>
      <c r="L20" s="17"/>
      <c r="M20" s="82" t="s">
        <v>140</v>
      </c>
      <c r="N20" s="17">
        <v>2</v>
      </c>
      <c r="O20" s="17"/>
      <c r="P20" s="80">
        <f t="shared" si="3"/>
        <v>1.0079400000000001</v>
      </c>
      <c r="Q20" s="17"/>
      <c r="R20" s="17" t="s">
        <v>141</v>
      </c>
      <c r="S20" s="17">
        <v>0</v>
      </c>
      <c r="T20" s="17"/>
      <c r="U20" s="80">
        <f t="shared" si="4"/>
        <v>15.9994</v>
      </c>
      <c r="V20" s="17"/>
      <c r="W20" s="17" t="s">
        <v>142</v>
      </c>
      <c r="X20" s="17">
        <v>0</v>
      </c>
      <c r="Y20" s="17"/>
      <c r="Z20" s="80">
        <f t="shared" si="5"/>
        <v>32.066000000000003</v>
      </c>
      <c r="AA20" s="17"/>
      <c r="AB20" s="17" t="s">
        <v>143</v>
      </c>
      <c r="AC20" s="17">
        <v>0</v>
      </c>
      <c r="AD20" s="17"/>
      <c r="AE20" s="80">
        <f t="shared" si="6"/>
        <v>14.006740000000001</v>
      </c>
      <c r="AF20" s="17"/>
      <c r="AG20" s="17" t="s">
        <v>144</v>
      </c>
      <c r="AH20" s="17">
        <v>0</v>
      </c>
      <c r="AI20" s="17"/>
      <c r="AJ20" s="80">
        <f t="shared" si="7"/>
        <v>4.0026020000000004</v>
      </c>
      <c r="AK20" s="17"/>
      <c r="AL20" s="17" t="s">
        <v>145</v>
      </c>
      <c r="AM20" s="17">
        <v>0</v>
      </c>
      <c r="AN20" s="17"/>
      <c r="AO20" s="80">
        <f t="shared" si="8"/>
        <v>39.948</v>
      </c>
      <c r="AP20" s="17"/>
      <c r="BY20"/>
    </row>
    <row r="21" spans="1:77">
      <c r="A21" s="17" t="s">
        <v>168</v>
      </c>
      <c r="B21" s="17" t="s">
        <v>169</v>
      </c>
      <c r="C21" s="80">
        <f t="shared" si="0"/>
        <v>4.0026020000000004</v>
      </c>
      <c r="D21" s="48">
        <v>0</v>
      </c>
      <c r="E21" s="81" t="s">
        <v>190</v>
      </c>
      <c r="F21" s="80">
        <f t="shared" si="1"/>
        <v>0</v>
      </c>
      <c r="G21" s="17" t="s">
        <v>182</v>
      </c>
      <c r="H21" s="82" t="s">
        <v>139</v>
      </c>
      <c r="I21" s="17">
        <v>0</v>
      </c>
      <c r="J21" s="17"/>
      <c r="K21" s="80">
        <f t="shared" si="2"/>
        <v>12.010999999999999</v>
      </c>
      <c r="L21" s="17"/>
      <c r="M21" s="82" t="s">
        <v>140</v>
      </c>
      <c r="N21" s="17">
        <v>0</v>
      </c>
      <c r="O21" s="17"/>
      <c r="P21" s="80">
        <f t="shared" si="3"/>
        <v>1.0079400000000001</v>
      </c>
      <c r="Q21" s="17"/>
      <c r="R21" s="17" t="s">
        <v>141</v>
      </c>
      <c r="S21" s="17">
        <v>0</v>
      </c>
      <c r="T21" s="17"/>
      <c r="U21" s="80">
        <f t="shared" si="4"/>
        <v>15.9994</v>
      </c>
      <c r="V21" s="17"/>
      <c r="W21" s="17" t="s">
        <v>142</v>
      </c>
      <c r="X21" s="17">
        <v>0</v>
      </c>
      <c r="Y21" s="17"/>
      <c r="Z21" s="80">
        <f t="shared" si="5"/>
        <v>32.066000000000003</v>
      </c>
      <c r="AA21" s="17"/>
      <c r="AB21" s="17" t="s">
        <v>143</v>
      </c>
      <c r="AC21" s="17">
        <v>0</v>
      </c>
      <c r="AD21" s="17"/>
      <c r="AE21" s="80">
        <f t="shared" si="6"/>
        <v>14.006740000000001</v>
      </c>
      <c r="AF21" s="17"/>
      <c r="AG21" s="17" t="s">
        <v>144</v>
      </c>
      <c r="AH21" s="17">
        <v>1</v>
      </c>
      <c r="AI21" s="17"/>
      <c r="AJ21" s="80">
        <f t="shared" si="7"/>
        <v>4.0026020000000004</v>
      </c>
      <c r="AK21" s="17"/>
      <c r="AL21" s="17" t="s">
        <v>145</v>
      </c>
      <c r="AM21" s="17">
        <v>0</v>
      </c>
      <c r="AN21" s="17"/>
      <c r="AO21" s="80">
        <f t="shared" si="8"/>
        <v>39.948</v>
      </c>
      <c r="AP21" s="17"/>
      <c r="BY21"/>
    </row>
    <row r="22" spans="1:77">
      <c r="A22" s="17" t="s">
        <v>170</v>
      </c>
      <c r="B22" s="17" t="s">
        <v>171</v>
      </c>
      <c r="C22" s="80">
        <f t="shared" si="0"/>
        <v>18.015280000000001</v>
      </c>
      <c r="D22" s="48">
        <v>0</v>
      </c>
      <c r="E22" s="81" t="s">
        <v>190</v>
      </c>
      <c r="F22" s="80">
        <f t="shared" si="1"/>
        <v>0</v>
      </c>
      <c r="G22" s="17" t="s">
        <v>182</v>
      </c>
      <c r="H22" s="82" t="s">
        <v>139</v>
      </c>
      <c r="I22" s="17">
        <v>0</v>
      </c>
      <c r="J22" s="17"/>
      <c r="K22" s="80">
        <f t="shared" si="2"/>
        <v>12.010999999999999</v>
      </c>
      <c r="L22" s="17"/>
      <c r="M22" s="82" t="s">
        <v>140</v>
      </c>
      <c r="N22" s="17">
        <v>2</v>
      </c>
      <c r="O22" s="17"/>
      <c r="P22" s="80">
        <f t="shared" si="3"/>
        <v>1.0079400000000001</v>
      </c>
      <c r="Q22" s="17"/>
      <c r="R22" s="17" t="s">
        <v>141</v>
      </c>
      <c r="S22" s="17">
        <v>1</v>
      </c>
      <c r="T22" s="17"/>
      <c r="U22" s="80">
        <f t="shared" si="4"/>
        <v>15.9994</v>
      </c>
      <c r="V22" s="17"/>
      <c r="W22" s="17" t="s">
        <v>142</v>
      </c>
      <c r="X22" s="17">
        <v>0</v>
      </c>
      <c r="Y22" s="17"/>
      <c r="Z22" s="80">
        <f t="shared" si="5"/>
        <v>32.066000000000003</v>
      </c>
      <c r="AA22" s="17"/>
      <c r="AB22" s="17" t="s">
        <v>143</v>
      </c>
      <c r="AC22" s="17">
        <v>0</v>
      </c>
      <c r="AD22" s="17"/>
      <c r="AE22" s="80">
        <f t="shared" si="6"/>
        <v>14.006740000000001</v>
      </c>
      <c r="AF22" s="17"/>
      <c r="AG22" s="17" t="s">
        <v>144</v>
      </c>
      <c r="AH22" s="17">
        <v>0</v>
      </c>
      <c r="AI22" s="17"/>
      <c r="AJ22" s="80">
        <f t="shared" si="7"/>
        <v>4.0026020000000004</v>
      </c>
      <c r="AK22" s="17"/>
      <c r="AL22" s="17" t="s">
        <v>145</v>
      </c>
      <c r="AM22" s="17">
        <v>0</v>
      </c>
      <c r="AN22" s="17"/>
      <c r="AO22" s="80">
        <f t="shared" si="8"/>
        <v>39.948</v>
      </c>
      <c r="AP22" s="17"/>
      <c r="BY22"/>
    </row>
    <row r="23" spans="1:77">
      <c r="A23" s="17" t="s">
        <v>172</v>
      </c>
      <c r="B23" s="17" t="s">
        <v>173</v>
      </c>
      <c r="C23" s="80">
        <f t="shared" si="0"/>
        <v>28.010399999999997</v>
      </c>
      <c r="D23" s="48">
        <v>0</v>
      </c>
      <c r="E23" s="81" t="s">
        <v>190</v>
      </c>
      <c r="F23" s="80">
        <f t="shared" si="1"/>
        <v>0</v>
      </c>
      <c r="G23" s="17" t="s">
        <v>182</v>
      </c>
      <c r="H23" s="82" t="s">
        <v>139</v>
      </c>
      <c r="I23" s="17">
        <v>1</v>
      </c>
      <c r="J23" s="17"/>
      <c r="K23" s="80">
        <f t="shared" si="2"/>
        <v>12.010999999999999</v>
      </c>
      <c r="L23" s="17"/>
      <c r="M23" s="82" t="s">
        <v>140</v>
      </c>
      <c r="N23" s="17">
        <v>0</v>
      </c>
      <c r="O23" s="17"/>
      <c r="P23" s="80">
        <f t="shared" si="3"/>
        <v>1.0079400000000001</v>
      </c>
      <c r="Q23" s="17"/>
      <c r="R23" s="17" t="s">
        <v>141</v>
      </c>
      <c r="S23" s="17">
        <v>1</v>
      </c>
      <c r="T23" s="17"/>
      <c r="U23" s="80">
        <f t="shared" si="4"/>
        <v>15.9994</v>
      </c>
      <c r="V23" s="17"/>
      <c r="W23" s="17" t="s">
        <v>142</v>
      </c>
      <c r="X23" s="17">
        <v>0</v>
      </c>
      <c r="Y23" s="17"/>
      <c r="Z23" s="80">
        <f t="shared" si="5"/>
        <v>32.066000000000003</v>
      </c>
      <c r="AA23" s="17"/>
      <c r="AB23" s="17" t="s">
        <v>143</v>
      </c>
      <c r="AC23" s="17">
        <v>0</v>
      </c>
      <c r="AD23" s="17"/>
      <c r="AE23" s="80">
        <f t="shared" si="6"/>
        <v>14.006740000000001</v>
      </c>
      <c r="AF23" s="17"/>
      <c r="AG23" s="17" t="s">
        <v>144</v>
      </c>
      <c r="AH23" s="17">
        <v>0</v>
      </c>
      <c r="AI23" s="17"/>
      <c r="AJ23" s="80">
        <f t="shared" si="7"/>
        <v>4.0026020000000004</v>
      </c>
      <c r="AK23" s="17"/>
      <c r="AL23" s="17" t="s">
        <v>145</v>
      </c>
      <c r="AM23" s="17">
        <v>0</v>
      </c>
      <c r="AN23" s="17"/>
      <c r="AO23" s="80">
        <f t="shared" si="8"/>
        <v>39.948</v>
      </c>
      <c r="AP23" s="17"/>
      <c r="BY23"/>
    </row>
    <row r="24" spans="1:77">
      <c r="A24" s="17" t="s">
        <v>174</v>
      </c>
      <c r="B24" s="17" t="s">
        <v>111</v>
      </c>
      <c r="C24" s="80">
        <f t="shared" si="0"/>
        <v>28.013480000000001</v>
      </c>
      <c r="D24" s="48">
        <v>0.54290000000000005</v>
      </c>
      <c r="E24" s="81" t="s">
        <v>190</v>
      </c>
      <c r="F24" s="80">
        <f t="shared" si="1"/>
        <v>15.208518292000003</v>
      </c>
      <c r="G24" s="17" t="s">
        <v>182</v>
      </c>
      <c r="H24" s="82" t="s">
        <v>139</v>
      </c>
      <c r="I24" s="17">
        <v>0</v>
      </c>
      <c r="J24" s="17"/>
      <c r="K24" s="80">
        <f t="shared" si="2"/>
        <v>12.010999999999999</v>
      </c>
      <c r="L24" s="17"/>
      <c r="M24" s="82" t="s">
        <v>140</v>
      </c>
      <c r="N24" s="17">
        <v>0</v>
      </c>
      <c r="O24" s="17"/>
      <c r="P24" s="80">
        <f t="shared" si="3"/>
        <v>1.0079400000000001</v>
      </c>
      <c r="Q24" s="17"/>
      <c r="R24" s="17" t="s">
        <v>141</v>
      </c>
      <c r="S24" s="17">
        <v>0</v>
      </c>
      <c r="T24" s="17"/>
      <c r="U24" s="80">
        <f t="shared" si="4"/>
        <v>15.9994</v>
      </c>
      <c r="V24" s="17"/>
      <c r="W24" s="17" t="s">
        <v>142</v>
      </c>
      <c r="X24" s="17">
        <v>0</v>
      </c>
      <c r="Y24" s="17"/>
      <c r="Z24" s="80">
        <f t="shared" si="5"/>
        <v>32.066000000000003</v>
      </c>
      <c r="AA24" s="17"/>
      <c r="AB24" s="17" t="s">
        <v>143</v>
      </c>
      <c r="AC24" s="17">
        <v>2</v>
      </c>
      <c r="AD24" s="17"/>
      <c r="AE24" s="80">
        <f t="shared" si="6"/>
        <v>14.006740000000001</v>
      </c>
      <c r="AF24" s="17"/>
      <c r="AG24" s="17" t="s">
        <v>144</v>
      </c>
      <c r="AH24" s="17">
        <v>0</v>
      </c>
      <c r="AI24" s="17"/>
      <c r="AJ24" s="80">
        <f t="shared" si="7"/>
        <v>4.0026020000000004</v>
      </c>
      <c r="AK24" s="17"/>
      <c r="AL24" s="17" t="s">
        <v>145</v>
      </c>
      <c r="AM24" s="17">
        <v>0</v>
      </c>
      <c r="AN24" s="17"/>
      <c r="AO24" s="80">
        <f t="shared" si="8"/>
        <v>39.948</v>
      </c>
      <c r="AP24" s="17"/>
      <c r="BY24"/>
    </row>
    <row r="25" spans="1:77">
      <c r="A25" s="17" t="s">
        <v>175</v>
      </c>
      <c r="B25" s="17" t="s">
        <v>176</v>
      </c>
      <c r="C25" s="80">
        <f t="shared" si="0"/>
        <v>31.998799999999999</v>
      </c>
      <c r="D25" s="48">
        <v>0</v>
      </c>
      <c r="E25" s="81" t="s">
        <v>190</v>
      </c>
      <c r="F25" s="80">
        <f t="shared" si="1"/>
        <v>0</v>
      </c>
      <c r="G25" s="17" t="s">
        <v>182</v>
      </c>
      <c r="H25" s="82" t="s">
        <v>139</v>
      </c>
      <c r="I25" s="17">
        <v>0</v>
      </c>
      <c r="J25" s="17"/>
      <c r="K25" s="80">
        <f t="shared" si="2"/>
        <v>12.010999999999999</v>
      </c>
      <c r="L25" s="17"/>
      <c r="M25" s="82" t="s">
        <v>140</v>
      </c>
      <c r="N25" s="17">
        <v>0</v>
      </c>
      <c r="O25" s="17"/>
      <c r="P25" s="80">
        <f t="shared" si="3"/>
        <v>1.0079400000000001</v>
      </c>
      <c r="Q25" s="17"/>
      <c r="R25" s="17" t="s">
        <v>141</v>
      </c>
      <c r="S25" s="17">
        <v>2</v>
      </c>
      <c r="T25" s="17"/>
      <c r="U25" s="80">
        <f t="shared" si="4"/>
        <v>15.9994</v>
      </c>
      <c r="V25" s="17"/>
      <c r="W25" s="17" t="s">
        <v>142</v>
      </c>
      <c r="X25" s="17">
        <v>0</v>
      </c>
      <c r="Y25" s="17"/>
      <c r="Z25" s="80">
        <f t="shared" si="5"/>
        <v>32.066000000000003</v>
      </c>
      <c r="AA25" s="17"/>
      <c r="AB25" s="17" t="s">
        <v>143</v>
      </c>
      <c r="AC25" s="17">
        <v>0</v>
      </c>
      <c r="AD25" s="17"/>
      <c r="AE25" s="80">
        <f t="shared" si="6"/>
        <v>14.006740000000001</v>
      </c>
      <c r="AF25" s="17"/>
      <c r="AG25" s="17" t="s">
        <v>144</v>
      </c>
      <c r="AH25" s="17">
        <v>0</v>
      </c>
      <c r="AI25" s="17"/>
      <c r="AJ25" s="80">
        <f t="shared" si="7"/>
        <v>4.0026020000000004</v>
      </c>
      <c r="AK25" s="17"/>
      <c r="AL25" s="17" t="s">
        <v>145</v>
      </c>
      <c r="AM25" s="17">
        <v>0</v>
      </c>
      <c r="AN25" s="17"/>
      <c r="AO25" s="80">
        <f t="shared" si="8"/>
        <v>39.948</v>
      </c>
      <c r="AP25" s="17"/>
      <c r="BY25"/>
    </row>
    <row r="26" spans="1:77">
      <c r="A26" s="17" t="s">
        <v>177</v>
      </c>
      <c r="B26" s="17" t="s">
        <v>178</v>
      </c>
      <c r="C26" s="80">
        <f t="shared" si="0"/>
        <v>34.081880000000005</v>
      </c>
      <c r="D26" s="48">
        <v>0</v>
      </c>
      <c r="E26" s="81" t="s">
        <v>190</v>
      </c>
      <c r="F26" s="80">
        <f t="shared" si="1"/>
        <v>0</v>
      </c>
      <c r="G26" s="17" t="s">
        <v>182</v>
      </c>
      <c r="H26" s="82" t="s">
        <v>139</v>
      </c>
      <c r="I26" s="17">
        <v>0</v>
      </c>
      <c r="J26" s="17"/>
      <c r="K26" s="80">
        <f t="shared" si="2"/>
        <v>12.010999999999999</v>
      </c>
      <c r="L26" s="17"/>
      <c r="M26" s="82" t="s">
        <v>140</v>
      </c>
      <c r="N26" s="17">
        <v>2</v>
      </c>
      <c r="O26" s="17"/>
      <c r="P26" s="80">
        <f t="shared" si="3"/>
        <v>1.0079400000000001</v>
      </c>
      <c r="Q26" s="17"/>
      <c r="R26" s="17" t="s">
        <v>141</v>
      </c>
      <c r="S26" s="17">
        <v>0</v>
      </c>
      <c r="T26" s="17"/>
      <c r="U26" s="80">
        <f t="shared" si="4"/>
        <v>15.9994</v>
      </c>
      <c r="V26" s="17"/>
      <c r="W26" s="17" t="s">
        <v>142</v>
      </c>
      <c r="X26" s="17">
        <v>1</v>
      </c>
      <c r="Y26" s="17"/>
      <c r="Z26" s="80">
        <f t="shared" si="5"/>
        <v>32.066000000000003</v>
      </c>
      <c r="AA26" s="17"/>
      <c r="AB26" s="17" t="s">
        <v>143</v>
      </c>
      <c r="AC26" s="17">
        <v>0</v>
      </c>
      <c r="AD26" s="17"/>
      <c r="AE26" s="80">
        <f t="shared" si="6"/>
        <v>14.006740000000001</v>
      </c>
      <c r="AF26" s="17"/>
      <c r="AG26" s="17" t="s">
        <v>144</v>
      </c>
      <c r="AH26" s="17">
        <v>0</v>
      </c>
      <c r="AI26" s="17"/>
      <c r="AJ26" s="80">
        <f t="shared" si="7"/>
        <v>4.0026020000000004</v>
      </c>
      <c r="AK26" s="17"/>
      <c r="AL26" s="17" t="s">
        <v>145</v>
      </c>
      <c r="AM26" s="17">
        <v>0</v>
      </c>
      <c r="AN26" s="17"/>
      <c r="AO26" s="80">
        <f t="shared" si="8"/>
        <v>39.948</v>
      </c>
      <c r="AP26" s="17"/>
      <c r="BY26"/>
    </row>
    <row r="27" spans="1:77">
      <c r="A27" s="17" t="s">
        <v>179</v>
      </c>
      <c r="B27" s="17" t="s">
        <v>180</v>
      </c>
      <c r="C27" s="80">
        <f t="shared" si="0"/>
        <v>39.948</v>
      </c>
      <c r="D27" s="48">
        <v>0</v>
      </c>
      <c r="E27" s="81" t="s">
        <v>190</v>
      </c>
      <c r="F27" s="80">
        <f t="shared" si="1"/>
        <v>0</v>
      </c>
      <c r="G27" s="17" t="s">
        <v>182</v>
      </c>
      <c r="H27" s="82" t="s">
        <v>139</v>
      </c>
      <c r="I27" s="17">
        <v>0</v>
      </c>
      <c r="J27" s="17"/>
      <c r="K27" s="80">
        <f t="shared" si="2"/>
        <v>12.010999999999999</v>
      </c>
      <c r="L27" s="17"/>
      <c r="M27" s="82" t="s">
        <v>140</v>
      </c>
      <c r="N27" s="17">
        <v>0</v>
      </c>
      <c r="O27" s="17"/>
      <c r="P27" s="80">
        <f t="shared" si="3"/>
        <v>1.0079400000000001</v>
      </c>
      <c r="Q27" s="17"/>
      <c r="R27" s="17" t="s">
        <v>141</v>
      </c>
      <c r="S27" s="17">
        <v>0</v>
      </c>
      <c r="T27" s="17"/>
      <c r="U27" s="80">
        <f t="shared" si="4"/>
        <v>15.9994</v>
      </c>
      <c r="V27" s="17"/>
      <c r="W27" s="17" t="s">
        <v>142</v>
      </c>
      <c r="X27" s="17">
        <v>0</v>
      </c>
      <c r="Y27" s="17"/>
      <c r="Z27" s="80">
        <f t="shared" si="5"/>
        <v>32.066000000000003</v>
      </c>
      <c r="AA27" s="17"/>
      <c r="AB27" s="17" t="s">
        <v>143</v>
      </c>
      <c r="AC27" s="17">
        <v>0</v>
      </c>
      <c r="AD27" s="17"/>
      <c r="AE27" s="80">
        <f t="shared" si="6"/>
        <v>14.006740000000001</v>
      </c>
      <c r="AF27" s="17"/>
      <c r="AG27" s="17" t="s">
        <v>144</v>
      </c>
      <c r="AH27" s="17">
        <v>0</v>
      </c>
      <c r="AI27" s="17"/>
      <c r="AJ27" s="80">
        <f t="shared" si="7"/>
        <v>4.0026020000000004</v>
      </c>
      <c r="AK27" s="17"/>
      <c r="AL27" s="17" t="s">
        <v>145</v>
      </c>
      <c r="AM27" s="17">
        <v>1</v>
      </c>
      <c r="AN27" s="17"/>
      <c r="AO27" s="80">
        <f t="shared" si="8"/>
        <v>39.948</v>
      </c>
      <c r="AP27" s="17"/>
      <c r="BY27"/>
    </row>
    <row r="28" spans="1:77">
      <c r="A28" s="17" t="s">
        <v>181</v>
      </c>
      <c r="B28" s="17" t="s">
        <v>112</v>
      </c>
      <c r="C28" s="80">
        <f t="shared" si="0"/>
        <v>44.009799999999998</v>
      </c>
      <c r="D28" s="48">
        <v>0.36330000000000001</v>
      </c>
      <c r="E28" s="81" t="s">
        <v>190</v>
      </c>
      <c r="F28" s="80">
        <f t="shared" si="1"/>
        <v>15.988760340000001</v>
      </c>
      <c r="G28" s="17" t="s">
        <v>182</v>
      </c>
      <c r="H28" s="82" t="s">
        <v>139</v>
      </c>
      <c r="I28" s="17">
        <v>1</v>
      </c>
      <c r="J28" s="17"/>
      <c r="K28" s="80">
        <f t="shared" si="2"/>
        <v>12.010999999999999</v>
      </c>
      <c r="L28" s="17"/>
      <c r="M28" s="82" t="s">
        <v>140</v>
      </c>
      <c r="N28" s="17">
        <v>0</v>
      </c>
      <c r="O28" s="17"/>
      <c r="P28" s="80">
        <f t="shared" si="3"/>
        <v>1.0079400000000001</v>
      </c>
      <c r="Q28" s="17"/>
      <c r="R28" s="17" t="s">
        <v>141</v>
      </c>
      <c r="S28" s="17">
        <v>2</v>
      </c>
      <c r="T28" s="17"/>
      <c r="U28" s="80">
        <f t="shared" si="4"/>
        <v>15.9994</v>
      </c>
      <c r="V28" s="17"/>
      <c r="W28" s="17" t="s">
        <v>142</v>
      </c>
      <c r="X28" s="17">
        <v>0</v>
      </c>
      <c r="Y28" s="17"/>
      <c r="Z28" s="80">
        <f t="shared" si="5"/>
        <v>32.066000000000003</v>
      </c>
      <c r="AA28" s="17"/>
      <c r="AB28" s="17" t="s">
        <v>143</v>
      </c>
      <c r="AC28" s="17">
        <v>0</v>
      </c>
      <c r="AD28" s="17"/>
      <c r="AE28" s="80">
        <f t="shared" si="6"/>
        <v>14.006740000000001</v>
      </c>
      <c r="AF28" s="17"/>
      <c r="AG28" s="17" t="s">
        <v>144</v>
      </c>
      <c r="AH28" s="17">
        <v>0</v>
      </c>
      <c r="AI28" s="17"/>
      <c r="AJ28" s="80">
        <f t="shared" si="7"/>
        <v>4.0026020000000004</v>
      </c>
      <c r="AK28" s="17"/>
      <c r="AL28" s="17" t="s">
        <v>145</v>
      </c>
      <c r="AM28" s="17">
        <v>0</v>
      </c>
      <c r="AN28" s="17"/>
      <c r="AO28" s="80">
        <f t="shared" si="8"/>
        <v>39.948</v>
      </c>
      <c r="AP28" s="17"/>
      <c r="BY28"/>
    </row>
    <row r="29" spans="1:77">
      <c r="A29" s="17"/>
      <c r="B29" s="17"/>
      <c r="C29" s="80"/>
      <c r="D29" s="80"/>
      <c r="E29" s="17"/>
      <c r="F29" s="80"/>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BY29"/>
    </row>
    <row r="30" spans="1:77">
      <c r="A30" s="17" t="s">
        <v>183</v>
      </c>
      <c r="B30" s="17"/>
      <c r="C30" s="80"/>
      <c r="D30" s="83">
        <f>SUM(D8:D28)/100</f>
        <v>0.99999899999999997</v>
      </c>
      <c r="E30" s="17" t="s">
        <v>184</v>
      </c>
      <c r="F30" s="84">
        <f>SUM(F8:F28)/100</f>
        <v>16.619385035480004</v>
      </c>
      <c r="G30" s="85" t="s">
        <v>185</v>
      </c>
      <c r="H30" s="82" t="s">
        <v>139</v>
      </c>
      <c r="I30" s="17">
        <v>1</v>
      </c>
      <c r="J30" s="17"/>
      <c r="K30" s="80">
        <f>SUM(I8:I28)*K8</f>
        <v>792.726</v>
      </c>
      <c r="L30" s="17"/>
      <c r="M30" s="82" t="s">
        <v>140</v>
      </c>
      <c r="N30" s="17">
        <v>0</v>
      </c>
      <c r="O30" s="17"/>
      <c r="P30" s="80">
        <f>SUM(N8:N28)*P8</f>
        <v>159.25452000000001</v>
      </c>
      <c r="Q30" s="17"/>
      <c r="R30" s="17" t="s">
        <v>141</v>
      </c>
      <c r="S30" s="17">
        <v>2</v>
      </c>
      <c r="T30" s="17"/>
      <c r="U30" s="80">
        <f>SUM(S8:S28)*U8</f>
        <v>95.996399999999994</v>
      </c>
      <c r="V30" s="17"/>
      <c r="W30" s="17" t="s">
        <v>142</v>
      </c>
      <c r="X30" s="17">
        <v>0</v>
      </c>
      <c r="Y30" s="17"/>
      <c r="Z30" s="80">
        <f>SUM(X8:X28)*Z8</f>
        <v>32.066000000000003</v>
      </c>
      <c r="AA30" s="17"/>
      <c r="AB30" s="17" t="s">
        <v>143</v>
      </c>
      <c r="AC30" s="17">
        <v>0</v>
      </c>
      <c r="AD30" s="17"/>
      <c r="AE30" s="80">
        <f>SUM(AC8:AC28)*AE8</f>
        <v>28.013480000000001</v>
      </c>
      <c r="AF30" s="17"/>
      <c r="AG30" s="17" t="s">
        <v>144</v>
      </c>
      <c r="AH30" s="17">
        <v>0</v>
      </c>
      <c r="AI30" s="17"/>
      <c r="AJ30" s="80">
        <f>SUM(AH8:AH28)*AJ8</f>
        <v>4.0026020000000004</v>
      </c>
      <c r="AK30" s="17"/>
      <c r="AL30" s="17" t="s">
        <v>145</v>
      </c>
      <c r="AM30" s="17">
        <v>0</v>
      </c>
      <c r="AN30" s="17"/>
      <c r="AO30" s="80">
        <f>SUM(AM8:AM28)*AO8</f>
        <v>39.948</v>
      </c>
      <c r="AP30" s="17"/>
      <c r="BY30"/>
    </row>
    <row r="31" spans="1:77" ht="13.5" thickBot="1">
      <c r="A31" s="17"/>
      <c r="B31" s="17"/>
      <c r="C31" s="17"/>
      <c r="D31" s="17"/>
      <c r="E31" s="17"/>
      <c r="F31" s="63">
        <f>F30/(0.2095*C25+0.7805*C24)</f>
        <v>0.58174279320144795</v>
      </c>
      <c r="G31" s="32" t="s">
        <v>230</v>
      </c>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row>
    <row r="32" spans="1:77" ht="13.5" thickBot="1">
      <c r="A32" s="86" t="s">
        <v>237</v>
      </c>
      <c r="B32" s="87"/>
      <c r="C32" s="87"/>
      <c r="D32" s="53">
        <v>0.62719999999999998</v>
      </c>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row>
    <row r="33" spans="1:42" s="54" customFormat="1" ht="13.5" thickBot="1">
      <c r="A33" s="88"/>
      <c r="B33" s="89"/>
      <c r="C33" s="89"/>
      <c r="D33" s="90"/>
      <c r="E33" s="77"/>
      <c r="F33" s="77"/>
      <c r="G33" s="77"/>
      <c r="H33" s="77"/>
      <c r="I33" s="77"/>
      <c r="J33" s="77"/>
      <c r="K33" s="77"/>
      <c r="L33" s="77"/>
      <c r="M33" s="77"/>
      <c r="N33" s="77"/>
      <c r="O33" s="77"/>
      <c r="P33" s="77"/>
      <c r="Q33" s="77"/>
      <c r="R33" s="77"/>
      <c r="S33" s="77"/>
      <c r="T33" s="77"/>
      <c r="U33" s="77"/>
      <c r="V33" s="77"/>
      <c r="W33" s="77"/>
      <c r="X33" s="77"/>
      <c r="Y33" s="77"/>
      <c r="Z33" s="77"/>
      <c r="AA33" s="77"/>
      <c r="AB33" s="77"/>
      <c r="AC33" s="77"/>
      <c r="AD33" s="77"/>
      <c r="AE33" s="77"/>
      <c r="AF33" s="77"/>
      <c r="AG33" s="77"/>
      <c r="AH33" s="77"/>
      <c r="AI33" s="77"/>
      <c r="AJ33" s="77"/>
      <c r="AK33" s="77"/>
      <c r="AL33" s="77"/>
      <c r="AM33" s="77"/>
      <c r="AN33" s="77"/>
      <c r="AO33" s="77"/>
      <c r="AP33" s="77"/>
    </row>
    <row r="34" spans="1:42" ht="16.5" thickBot="1">
      <c r="A34" s="50" t="s">
        <v>221</v>
      </c>
      <c r="B34" s="51"/>
      <c r="C34" s="51"/>
      <c r="D34" s="56">
        <v>35</v>
      </c>
      <c r="E34" s="64" t="s">
        <v>231</v>
      </c>
      <c r="F34" s="17"/>
      <c r="G34" s="17"/>
      <c r="H34" s="17"/>
      <c r="I34" s="17"/>
      <c r="J34" s="17"/>
      <c r="K34" s="17"/>
      <c r="L34" s="17"/>
      <c r="M34" s="17"/>
      <c r="N34" s="17"/>
      <c r="O34" s="17"/>
      <c r="P34" s="17"/>
      <c r="Q34" s="17"/>
      <c r="R34" s="17"/>
      <c r="S34" s="17"/>
      <c r="T34" s="17"/>
      <c r="U34" s="17"/>
      <c r="V34" s="17"/>
      <c r="W34" s="17"/>
      <c r="X34" s="17"/>
      <c r="Y34" s="17"/>
      <c r="Z34" s="17"/>
      <c r="AA34" s="17"/>
      <c r="AB34" s="17"/>
      <c r="AC34" s="17"/>
      <c r="AD34" s="17"/>
      <c r="AE34" s="17"/>
      <c r="AF34" s="17"/>
      <c r="AG34" s="17"/>
      <c r="AH34" s="17"/>
      <c r="AI34" s="17"/>
      <c r="AJ34" s="17"/>
      <c r="AK34" s="17"/>
      <c r="AL34" s="17"/>
      <c r="AM34" s="17"/>
      <c r="AN34" s="17"/>
      <c r="AO34" s="17"/>
      <c r="AP34" s="17"/>
    </row>
    <row r="35" spans="1:42" ht="16.5" thickBot="1">
      <c r="A35" s="50" t="s">
        <v>232</v>
      </c>
      <c r="B35" s="51"/>
      <c r="C35" s="51"/>
      <c r="D35" s="67">
        <f>14.54*((55096-(D34-361))/(55096+(D34-361)))</f>
        <v>14.713088917290486</v>
      </c>
      <c r="E35" s="64" t="s">
        <v>224</v>
      </c>
      <c r="F35" s="17"/>
      <c r="G35" s="17"/>
      <c r="H35" s="17"/>
      <c r="I35" s="17"/>
      <c r="J35" s="17"/>
      <c r="K35" s="17"/>
      <c r="L35" s="17"/>
      <c r="M35" s="17"/>
      <c r="N35" s="17"/>
      <c r="O35" s="17"/>
      <c r="P35" s="17"/>
      <c r="Q35" s="17"/>
      <c r="R35" s="17"/>
      <c r="S35" s="17"/>
      <c r="T35" s="17"/>
      <c r="U35" s="17"/>
      <c r="V35" s="17"/>
      <c r="W35" s="17"/>
      <c r="X35" s="17"/>
      <c r="Y35" s="17"/>
      <c r="Z35" s="17"/>
      <c r="AA35" s="17"/>
      <c r="AB35" s="17"/>
      <c r="AC35" s="17"/>
      <c r="AD35" s="17"/>
      <c r="AE35" s="17"/>
      <c r="AF35" s="17"/>
      <c r="AG35" s="17"/>
      <c r="AH35" s="17"/>
      <c r="AI35" s="17"/>
      <c r="AJ35" s="17"/>
      <c r="AK35" s="17"/>
      <c r="AL35" s="17"/>
      <c r="AM35" s="17"/>
      <c r="AN35" s="17"/>
      <c r="AO35" s="17"/>
      <c r="AP35" s="17"/>
    </row>
    <row r="36" spans="1:42" ht="16.5" thickBot="1">
      <c r="A36" s="50" t="s">
        <v>118</v>
      </c>
      <c r="B36" s="51"/>
      <c r="C36" s="51"/>
      <c r="D36" s="70">
        <v>819.1</v>
      </c>
      <c r="E36" s="64" t="s">
        <v>119</v>
      </c>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row>
    <row r="37" spans="1:42" ht="16.5" thickBot="1">
      <c r="A37" s="50" t="s">
        <v>118</v>
      </c>
      <c r="B37" s="51"/>
      <c r="C37" s="51"/>
      <c r="D37" s="68">
        <f>D35+D36</f>
        <v>833.81308891729054</v>
      </c>
      <c r="E37" s="37" t="s">
        <v>222</v>
      </c>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row>
    <row r="38" spans="1:42" ht="16.5" thickBot="1">
      <c r="A38" s="50" t="s">
        <v>125</v>
      </c>
      <c r="B38" s="51"/>
      <c r="C38" s="51"/>
      <c r="D38" s="56">
        <v>90</v>
      </c>
      <c r="E38" s="41" t="s">
        <v>127</v>
      </c>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row>
    <row r="39" spans="1:42" ht="13.5" thickBot="1">
      <c r="A39" s="17"/>
      <c r="B39" s="17"/>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row>
    <row r="40" spans="1:42" ht="21" thickBot="1">
      <c r="A40" s="50" t="s">
        <v>189</v>
      </c>
      <c r="B40" s="51"/>
      <c r="C40" s="51"/>
      <c r="D40" s="92">
        <f>'Z Calculation Method 1'!E91</f>
        <v>0.90519197275349839</v>
      </c>
      <c r="E40" s="52" t="s">
        <v>233</v>
      </c>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row>
    <row r="41" spans="1:42" ht="21" thickBot="1">
      <c r="A41" s="50" t="s">
        <v>189</v>
      </c>
      <c r="B41" s="51"/>
      <c r="C41" s="51"/>
      <c r="D41" s="94">
        <f>'Z Calculation Method 2'!B26</f>
        <v>0.90756748709529733</v>
      </c>
      <c r="E41" s="52" t="s">
        <v>234</v>
      </c>
    </row>
  </sheetData>
  <sheetProtection password="CF78" sheet="1" objects="1" scenarios="1"/>
  <mergeCells count="2">
    <mergeCell ref="A5:C5"/>
    <mergeCell ref="A3:E3"/>
  </mergeCells>
  <phoneticPr fontId="1" type="noConversion"/>
  <pageMargins left="0.5" right="0.5" top="0.5" bottom="0.5" header="0.5" footer="0.5"/>
  <pageSetup orientation="portrait" r:id="rId1"/>
  <headerFooter alignWithMargins="0"/>
  <ignoredErrors>
    <ignoredError sqref="D40" unlockedFormula="1"/>
  </ignoredErrors>
  <legacyDrawing r:id="rId2"/>
</worksheet>
</file>

<file path=xl/worksheets/sheet2.xml><?xml version="1.0" encoding="utf-8"?>
<worksheet xmlns="http://schemas.openxmlformats.org/spreadsheetml/2006/main" xmlns:r="http://schemas.openxmlformats.org/officeDocument/2006/relationships">
  <dimension ref="A1:K92"/>
  <sheetViews>
    <sheetView workbookViewId="0">
      <selection activeCell="H9" sqref="H9:I9"/>
    </sheetView>
  </sheetViews>
  <sheetFormatPr defaultRowHeight="12.75"/>
  <cols>
    <col min="1" max="3" width="9.140625" style="17"/>
    <col min="4" max="4" width="7.42578125" style="17" customWidth="1"/>
    <col min="5" max="5" width="9.85546875" style="17" customWidth="1"/>
    <col min="6" max="7" width="9.140625" style="17"/>
    <col min="8" max="8" width="10.28515625" style="17" customWidth="1"/>
    <col min="9" max="16384" width="9.140625" style="17"/>
  </cols>
  <sheetData>
    <row r="1" spans="1:10" ht="12.75" customHeight="1">
      <c r="A1" s="101" t="s">
        <v>113</v>
      </c>
      <c r="B1" s="102"/>
      <c r="C1" s="102"/>
      <c r="D1" s="102"/>
      <c r="E1" s="102"/>
      <c r="F1" s="102"/>
      <c r="G1" s="102"/>
      <c r="H1" s="102"/>
      <c r="I1" s="102"/>
      <c r="J1" s="103"/>
    </row>
    <row r="2" spans="1:10" ht="27.75" customHeight="1" thickBot="1">
      <c r="A2" s="104"/>
      <c r="B2" s="105"/>
      <c r="C2" s="105"/>
      <c r="D2" s="105"/>
      <c r="E2" s="105"/>
      <c r="F2" s="105"/>
      <c r="G2" s="105"/>
      <c r="H2" s="105"/>
      <c r="I2" s="105"/>
      <c r="J2" s="106"/>
    </row>
    <row r="3" spans="1:10" ht="12.75" customHeight="1">
      <c r="A3" s="107" t="s">
        <v>117</v>
      </c>
      <c r="B3" s="108"/>
      <c r="C3" s="108"/>
      <c r="D3" s="108"/>
      <c r="E3" s="108"/>
      <c r="F3" s="108"/>
      <c r="G3" s="108"/>
      <c r="H3" s="108"/>
      <c r="I3" s="108"/>
      <c r="J3" s="109"/>
    </row>
    <row r="4" spans="1:10" ht="20.25" customHeight="1">
      <c r="A4" s="110"/>
      <c r="B4" s="111"/>
      <c r="C4" s="111"/>
      <c r="D4" s="111"/>
      <c r="E4" s="111"/>
      <c r="F4" s="111"/>
      <c r="G4" s="111"/>
      <c r="H4" s="111"/>
      <c r="I4" s="111"/>
      <c r="J4" s="112"/>
    </row>
    <row r="5" spans="1:10" ht="20.25" customHeight="1" thickBot="1">
      <c r="A5" s="113"/>
      <c r="B5" s="114"/>
      <c r="C5" s="114"/>
      <c r="D5" s="114"/>
      <c r="E5" s="114"/>
      <c r="F5" s="114"/>
      <c r="G5" s="114"/>
      <c r="H5" s="114"/>
      <c r="I5" s="114"/>
      <c r="J5" s="115"/>
    </row>
    <row r="6" spans="1:10" ht="13.5" thickBot="1">
      <c r="I6" s="55" t="s">
        <v>239</v>
      </c>
    </row>
    <row r="7" spans="1:10" ht="13.5" thickBot="1">
      <c r="A7" s="116" t="s">
        <v>114</v>
      </c>
      <c r="B7" s="117"/>
      <c r="C7" s="117"/>
      <c r="D7" s="117"/>
      <c r="E7" s="117"/>
      <c r="F7" s="117"/>
      <c r="G7" s="118"/>
    </row>
    <row r="8" spans="1:10" ht="13.5" thickBot="1"/>
    <row r="9" spans="1:10" ht="13.5" thickBot="1">
      <c r="A9" s="34" t="s">
        <v>115</v>
      </c>
      <c r="B9" s="35"/>
      <c r="C9" s="35"/>
      <c r="D9" s="35"/>
      <c r="E9" s="35"/>
      <c r="F9" s="35"/>
      <c r="G9" s="36"/>
      <c r="H9" s="119" t="s">
        <v>107</v>
      </c>
      <c r="I9" s="120"/>
    </row>
    <row r="10" spans="1:10" ht="13.5" thickBot="1"/>
    <row r="11" spans="1:10" ht="13.5" thickBot="1">
      <c r="A11" s="121" t="s">
        <v>116</v>
      </c>
      <c r="B11" s="122"/>
      <c r="C11" s="123"/>
      <c r="D11" s="49">
        <f>IF('Gas Composition'!F3="yes", 'Gas Composition'!F30, 'Gas Composition'!D32)</f>
        <v>16.619385035480004</v>
      </c>
      <c r="E11" s="77"/>
    </row>
    <row r="12" spans="1:10" ht="13.5" thickBot="1"/>
    <row r="13" spans="1:10" ht="15.75" thickBot="1">
      <c r="A13" s="124" t="s">
        <v>118</v>
      </c>
      <c r="B13" s="125"/>
      <c r="C13" s="125"/>
      <c r="D13" s="126"/>
      <c r="E13" s="46">
        <f>'Gas Composition'!D37</f>
        <v>833.81308891729054</v>
      </c>
      <c r="F13" s="37" t="s">
        <v>119</v>
      </c>
    </row>
    <row r="15" spans="1:10" ht="13.5" thickBot="1"/>
    <row r="16" spans="1:10" ht="12.75" customHeight="1">
      <c r="A16" s="127" t="s">
        <v>124</v>
      </c>
      <c r="B16" s="128"/>
      <c r="C16" s="128"/>
      <c r="D16" s="128"/>
      <c r="E16" s="128"/>
      <c r="F16" s="128"/>
      <c r="G16" s="128"/>
      <c r="H16" s="128"/>
      <c r="I16" s="128"/>
      <c r="J16" s="129"/>
    </row>
    <row r="17" spans="1:10" ht="13.5" thickBot="1">
      <c r="A17" s="130"/>
      <c r="B17" s="131"/>
      <c r="C17" s="131"/>
      <c r="D17" s="131"/>
      <c r="E17" s="131"/>
      <c r="F17" s="131"/>
      <c r="G17" s="131"/>
      <c r="H17" s="131"/>
      <c r="I17" s="131"/>
      <c r="J17" s="132"/>
    </row>
    <row r="18" spans="1:10" ht="13.5" thickBot="1"/>
    <row r="19" spans="1:10" ht="12.75" customHeight="1">
      <c r="A19" s="127" t="s">
        <v>120</v>
      </c>
      <c r="B19" s="129"/>
      <c r="E19" s="127" t="s">
        <v>121</v>
      </c>
      <c r="F19" s="129"/>
      <c r="I19" s="127" t="s">
        <v>122</v>
      </c>
      <c r="J19" s="129"/>
    </row>
    <row r="20" spans="1:10">
      <c r="A20" s="133"/>
      <c r="B20" s="134"/>
      <c r="E20" s="133"/>
      <c r="F20" s="134"/>
      <c r="I20" s="133"/>
      <c r="J20" s="134"/>
    </row>
    <row r="21" spans="1:10">
      <c r="A21" s="38" t="s">
        <v>14</v>
      </c>
      <c r="B21" s="38" t="s">
        <v>123</v>
      </c>
      <c r="E21" s="38" t="s">
        <v>14</v>
      </c>
      <c r="F21" s="38" t="s">
        <v>123</v>
      </c>
      <c r="I21" s="38" t="s">
        <v>14</v>
      </c>
      <c r="J21" s="38" t="s">
        <v>123</v>
      </c>
    </row>
    <row r="22" spans="1:10">
      <c r="A22" s="38">
        <v>150</v>
      </c>
      <c r="B22" s="40">
        <f xml:space="preserve"> 0.000002*($E$13/50)^3 - 0.00006*($E$13/50)^2 - 0.0026*($E$13/50) + 1.0027</f>
        <v>0.95193111728274715</v>
      </c>
      <c r="E22" s="38">
        <v>150</v>
      </c>
      <c r="F22" s="39">
        <f xml:space="preserve"> -0.000003*($E$13/50)^3 + 0.0002*($E$13/50)^2 - 0.0063*($E$13/50) + 1.0073</f>
        <v>0.94394620169574284</v>
      </c>
      <c r="I22" s="38">
        <v>150</v>
      </c>
      <c r="J22" s="39">
        <f xml:space="preserve"> -0.000002*($E$13/50)^3 + 0.0001*($E$13/50)^2 - 0.0069*($E$13/50) + 1.0058</f>
        <v>0.9092683040989642</v>
      </c>
    </row>
    <row r="23" spans="1:10">
      <c r="A23" s="38">
        <f>A22-5</f>
        <v>145</v>
      </c>
      <c r="B23" s="40">
        <f xml:space="preserve"> 0.000002*($E$13/50)^3 - 0.00006*($E$13/50)^2 - 0.0028*($E$13/50) + 1.0029</f>
        <v>0.94879586492707801</v>
      </c>
      <c r="E23" s="38">
        <f>E22-5</f>
        <v>145</v>
      </c>
      <c r="F23" s="39">
        <f xml:space="preserve"> -0.000003*($E$13/50)^3 + 0.0001*($E$13/50)^2 - 0.0064*($E$13/50) + 1.0071</f>
        <v>0.9142688048279165</v>
      </c>
      <c r="I23" s="38">
        <f>I22-5</f>
        <v>145</v>
      </c>
      <c r="J23" s="39">
        <f xml:space="preserve"> -0.000002*($E$13/50)^3 + 0.0001*($E$13/50)^2 - 0.0071*($E$13/50) + 1.0056</f>
        <v>0.9057330517432951</v>
      </c>
    </row>
    <row r="24" spans="1:10">
      <c r="A24" s="38">
        <f t="shared" ref="A24:A52" si="0">A23-5</f>
        <v>140</v>
      </c>
      <c r="B24" s="40">
        <f xml:space="preserve"> 0.000002*($E$13/50)^3 - 0.00005*($E$13/50)^2 - 0.0031*($E$13/50) + 1.003</f>
        <v>0.94667396346257338</v>
      </c>
      <c r="E24" s="38">
        <f t="shared" ref="E24:E52" si="1">E23-5</f>
        <v>140</v>
      </c>
      <c r="F24" s="39">
        <f xml:space="preserve"> -0.000003*($E$13/50)^3 + 0.0001*($E$13/50)^2 - 0.0064*($E$13/50) + 1.0068</f>
        <v>0.91396880482791631</v>
      </c>
      <c r="I24" s="38">
        <f t="shared" ref="I24:I52" si="2">I23-5</f>
        <v>140</v>
      </c>
      <c r="J24" s="39">
        <f xml:space="preserve"> -0.000002*($E$13/50)^3 + 0.0001*($E$13/50)^2 - 0.0073*($E$13/50) + 1.0055</f>
        <v>0.902297799387626</v>
      </c>
    </row>
    <row r="25" spans="1:10">
      <c r="A25" s="38">
        <f t="shared" si="0"/>
        <v>135</v>
      </c>
      <c r="B25" s="40">
        <f xml:space="preserve"> 0.000002*($E$13/50)^3 - 0.00005*($E$13/50)^2 - 0.0033*($E$13/50) + 1.0032</f>
        <v>0.94353871110690446</v>
      </c>
      <c r="E25" s="38">
        <f t="shared" si="1"/>
        <v>135</v>
      </c>
      <c r="F25" s="39">
        <f xml:space="preserve"> -0.000003*($E$13/50)^3 + 0.0001*($E$13/50)^2 - 0.0064*($E$13/50) + 1.0065</f>
        <v>0.91366880482791635</v>
      </c>
      <c r="I25" s="38">
        <f t="shared" si="2"/>
        <v>135</v>
      </c>
      <c r="J25" s="39">
        <f xml:space="preserve"> -0.000002*($E$13/50)^3 + 0.0001*($E$13/50)^2 - 0.0074*($E$13/50) + 1.0053</f>
        <v>0.90043017320979135</v>
      </c>
    </row>
    <row r="26" spans="1:10">
      <c r="A26" s="38">
        <f t="shared" si="0"/>
        <v>130</v>
      </c>
      <c r="B26" s="40">
        <f xml:space="preserve"> 0.000002*($E$13/50)^3 - 0.00004*($E$13/50)^2 - 0.0035*($E$13/50) + 1.0034</f>
        <v>0.94318443582023448</v>
      </c>
      <c r="E26" s="38">
        <f t="shared" si="1"/>
        <v>130</v>
      </c>
      <c r="F26" s="39">
        <f xml:space="preserve"> -0.000003*($E$13/50)^3 + 0.0001*($E$13/50)^2 - 0.0065*($E$13/50) + 1.0063</f>
        <v>0.91180117865008181</v>
      </c>
      <c r="I26" s="38">
        <f t="shared" si="2"/>
        <v>130</v>
      </c>
      <c r="J26" s="39">
        <f xml:space="preserve"> -0.000002*($E$13/50)^3 + 0.00009*($E$13/50)^2 - 0.0076*($E$13/50) + 1.0052</f>
        <v>0.89421394378512309</v>
      </c>
    </row>
    <row r="27" spans="1:10">
      <c r="A27" s="38">
        <f t="shared" si="0"/>
        <v>125</v>
      </c>
      <c r="B27" s="40">
        <f xml:space="preserve"> 0.000001*($E$13/50)^3 - 0.00004*($E$13/50)^2 - 0.0037*($E$13/50) + 1.0035</f>
        <v>0.93531155330434457</v>
      </c>
      <c r="E27" s="38">
        <f t="shared" si="1"/>
        <v>125</v>
      </c>
      <c r="F27" s="39">
        <f xml:space="preserve"> -0.000002*($E$13/50)^3 + 0.0001*($E$13/50)^2 - 0.0065*($E$13/50) + 1.006</f>
        <v>0.91613880881030252</v>
      </c>
      <c r="I27" s="38">
        <f t="shared" si="2"/>
        <v>125</v>
      </c>
      <c r="J27" s="39">
        <f xml:space="preserve"> -0.000001*($E$13/50)^3 + 0.00009*($E$13/50)^2 - 0.0078*($E$13/50) + 1.005</f>
        <v>0.89531632158967445</v>
      </c>
    </row>
    <row r="28" spans="1:10">
      <c r="A28" s="38">
        <f t="shared" si="0"/>
        <v>120</v>
      </c>
      <c r="B28" s="40">
        <f xml:space="preserve"> 0.000001*($E$13/50)^3 - 0.00003*($E$13/50)^2 - 0.004*($E$13/50) + 1.0037</f>
        <v>0.93328965183983992</v>
      </c>
      <c r="E28" s="38">
        <f t="shared" si="1"/>
        <v>120</v>
      </c>
      <c r="F28" s="39">
        <f xml:space="preserve"> -0.000002*($E$13/50)^3 + 0.00009*($E$13/50)^2 - 0.0065*($E$13/50) + 1.0058</f>
        <v>0.91315783174130338</v>
      </c>
      <c r="I28" s="38">
        <f t="shared" si="2"/>
        <v>120</v>
      </c>
      <c r="J28" s="39">
        <f xml:space="preserve"> -0.000001*($E$13/50)^3 + 0.00009*($E$13/50)^2 - 0.0079*($E$13/50) + 1.0049</f>
        <v>0.8935486954118399</v>
      </c>
    </row>
    <row r="29" spans="1:10">
      <c r="A29" s="38">
        <f t="shared" si="0"/>
        <v>115</v>
      </c>
      <c r="B29" s="40">
        <f xml:space="preserve"> 0.000001*($E$13/50)^3 - 0.00002*($E$13/50)^2 - 0.0042*($E$13/50) + 1.0039</f>
        <v>0.93293537655316994</v>
      </c>
      <c r="E29" s="38">
        <f t="shared" si="1"/>
        <v>115</v>
      </c>
      <c r="F29" s="39">
        <f xml:space="preserve"> -0.000002*($E$13/50)^3 + 0.00008*($E$13/50)^2 - 0.0066*($E$13/50) + 1.0055</f>
        <v>0.9084092284944697</v>
      </c>
      <c r="I29" s="38">
        <f t="shared" si="2"/>
        <v>115</v>
      </c>
      <c r="J29" s="39">
        <f xml:space="preserve"> -0.000001*($E$13/50)^3 + 0.00008*($E$13/50)^2 - 0.0081*($E$13/50) + 1.0047</f>
        <v>0.88723246598717154</v>
      </c>
    </row>
    <row r="30" spans="1:10">
      <c r="A30" s="38">
        <f t="shared" si="0"/>
        <v>110</v>
      </c>
      <c r="B30" s="40">
        <f xml:space="preserve"> 0.000001*($E$13/50)^3 - 0.00002*($E$13/50)^2 - 0.0044*($E$13/50) + 1.004</f>
        <v>0.92970012419750081</v>
      </c>
      <c r="E30" s="38">
        <f t="shared" si="1"/>
        <v>110</v>
      </c>
      <c r="F30" s="39">
        <f xml:space="preserve"> -0.000002*($E$13/50)^3 + 0.00007*($E$13/50)^2 - 0.0066*($E$13/50) + 1.0052</f>
        <v>0.90532825142547058</v>
      </c>
      <c r="I30" s="38">
        <f t="shared" si="2"/>
        <v>110</v>
      </c>
      <c r="J30" s="39">
        <f xml:space="preserve"> -0.000001*($E$13/50)^3 + 0.00008*($E$13/50)^2 - 0.0083*($E$13/50) + 1.0046</f>
        <v>0.88379721363150243</v>
      </c>
    </row>
    <row r="31" spans="1:10">
      <c r="A31" s="38">
        <f t="shared" si="0"/>
        <v>105</v>
      </c>
      <c r="B31" s="40">
        <f xml:space="preserve"> 0.0000009*($E$13/50)^3 - 0.00001*($E$13/50)^2 - 0.0046*($E$13/50) + 1.0042</f>
        <v>0.9288820858948087</v>
      </c>
      <c r="E31" s="38">
        <f t="shared" si="1"/>
        <v>105</v>
      </c>
      <c r="F31" s="39">
        <f xml:space="preserve"> -0.000001*($E$13/50)^3 + 0.00006*($E$13/50)^2 - 0.0067*($E$13/50) + 1.005</f>
        <v>0.90531727833885733</v>
      </c>
      <c r="I31" s="38">
        <f t="shared" si="2"/>
        <v>105</v>
      </c>
      <c r="J31" s="39">
        <f xml:space="preserve"> -0.000001*($E$13/50)^3 + 0.00007*($E$13/50)^2 - 0.0084*($E$13/50) + 1.0045</f>
        <v>0.87924861038466862</v>
      </c>
    </row>
    <row r="32" spans="1:10">
      <c r="A32" s="38">
        <f t="shared" si="0"/>
        <v>100</v>
      </c>
      <c r="B32" s="40">
        <f xml:space="preserve"> 0.0000008*($E$13/50)^3 - 0.000009*($E$13/50)^2 - 0.0049*($E$13/50) + 1.0043</f>
        <v>0.92379354205218278</v>
      </c>
      <c r="E32" s="38">
        <f t="shared" si="1"/>
        <v>100</v>
      </c>
      <c r="F32" s="39">
        <f xml:space="preserve"> -0.000001*($E$13/50)^3 + 0.00005*($E$13/50)^2 - 0.0067*($E$13/50) + 1.0047</f>
        <v>0.90223630126985821</v>
      </c>
      <c r="I32" s="38">
        <f t="shared" si="2"/>
        <v>100</v>
      </c>
      <c r="J32" s="39">
        <f xml:space="preserve"> -0.000001*($E$13/50)^3 + 0.00007*($E$13/50)^2 - 0.0086*($E$13/50) + 1.0043</f>
        <v>0.87571335802899952</v>
      </c>
    </row>
    <row r="33" spans="1:10">
      <c r="A33" s="38">
        <f t="shared" si="0"/>
        <v>95</v>
      </c>
      <c r="B33" s="40">
        <f xml:space="preserve"> 0.0000009*($E$13/50)^3 - 0.000009*($E$13/50)^2 - 0.0051*($E$13/50) + 1.0045</f>
        <v>0.92112205271253567</v>
      </c>
      <c r="E33" s="38">
        <f t="shared" si="1"/>
        <v>95</v>
      </c>
      <c r="F33" s="39">
        <f xml:space="preserve"> -0.0000005*($E$13/50)^3 + 0.00002*($E$13/50)^2 - 0.0067*($E$13/50) + 1.0045</f>
        <v>0.89601218514297098</v>
      </c>
      <c r="I33" s="38">
        <f t="shared" si="2"/>
        <v>95</v>
      </c>
      <c r="J33" s="39">
        <f xml:space="preserve"> -0.0000006*($E$13/50)^3 + 0.00005*($E$13/50)^2 - 0.0087*($E$13/50) + 1.0045</f>
        <v>0.87053882977725483</v>
      </c>
    </row>
    <row r="34" spans="1:10">
      <c r="A34" s="38">
        <f t="shared" si="0"/>
        <v>90</v>
      </c>
      <c r="B34" s="40">
        <f xml:space="preserve"> 0.0000009*($E$13/50)^3 - 0.00001*($E$13/50)^2 - 0.0053*($E$13/50) + 1.0046</f>
        <v>0.91760870264996663</v>
      </c>
      <c r="E34" s="38">
        <f t="shared" si="1"/>
        <v>90</v>
      </c>
      <c r="F34" s="39">
        <f xml:space="preserve"> -0.00000002*($E$13/50)^3 + 0.000003*($E$13/50)^2 - 0.0067*($E$13/50) + 1.0043</f>
        <v>0.89331058660257834</v>
      </c>
      <c r="I34" s="38">
        <f t="shared" si="2"/>
        <v>90</v>
      </c>
      <c r="J34" s="39">
        <f xml:space="preserve"> -0.0000003*($E$13/50)^3 + 0.00003*($E$13/50)^2 - 0.0088*($E$13/50) + 1.0046</f>
        <v>0.86480053850948813</v>
      </c>
    </row>
    <row r="35" spans="1:10">
      <c r="A35" s="38">
        <f t="shared" si="0"/>
        <v>85</v>
      </c>
      <c r="B35" s="40">
        <f xml:space="preserve"> 0.000001*($E$13/50)^3 - 0.00001*($E$13/50)^2 - 0.0055*($E$13/50) + 1.0047</f>
        <v>0.91483721331031953</v>
      </c>
      <c r="E35" s="38">
        <f t="shared" si="1"/>
        <v>85</v>
      </c>
      <c r="F35" s="39">
        <f xml:space="preserve"> 0.0000005*($E$13/50)^3 - 0.00002*($E$13/50)^2 - 0.0067*($E$13/50) + 1.0041</f>
        <v>0.88912590702719507</v>
      </c>
      <c r="I35" s="38">
        <f t="shared" si="2"/>
        <v>85</v>
      </c>
      <c r="J35" s="39">
        <f xml:space="preserve"> -0.000000005*($E$13/50)^3 + 0.00002*($E$13/50)^2 - 0.0089*($E$13/50) + 1.0048</f>
        <v>0.86192003615991941</v>
      </c>
    </row>
    <row r="36" spans="1:10">
      <c r="A36" s="38">
        <f t="shared" si="0"/>
        <v>80</v>
      </c>
      <c r="B36" s="40">
        <f xml:space="preserve"> 0.000001*($E$13/50)^3 - 0.00001*($E$13/50)^2 - 0.0057*($E$13/50) + 1.0049</f>
        <v>0.91170196095465028</v>
      </c>
      <c r="E36" s="38">
        <f t="shared" si="1"/>
        <v>80</v>
      </c>
      <c r="F36" s="39">
        <f xml:space="preserve"> 0.000001*($E$13/50)^3 - 0.00004*($E$13/50)^2 - 0.0067*($E$13/50) + 1.0039</f>
        <v>0.88568276796930712</v>
      </c>
      <c r="I36" s="38">
        <f t="shared" si="2"/>
        <v>80</v>
      </c>
      <c r="J36" s="39">
        <f xml:space="preserve"> 0.0000003*($E$13/50)^3 + 0.000002*($E$13/50)^2 - 0.009*($E$13/50) + 1.005</f>
        <v>0.85686112845675366</v>
      </c>
    </row>
    <row r="37" spans="1:10">
      <c r="A37" s="38">
        <f t="shared" si="0"/>
        <v>75</v>
      </c>
      <c r="B37" s="40">
        <f xml:space="preserve"> 0.000001*($E$13/50)^3 - 0.00001*($E$13/50)^2 - 0.0059*($E$13/50) + 1.005</f>
        <v>0.90846670859898115</v>
      </c>
      <c r="E37" s="38">
        <f t="shared" si="1"/>
        <v>75</v>
      </c>
      <c r="F37" s="39">
        <f xml:space="preserve"> 0.000002*($E$13/50)^3 - 0.00006*($E$13/50)^2 - 0.0068*($E$13/50) + 1.0037</f>
        <v>0.88289081781369494</v>
      </c>
      <c r="I37" s="38">
        <f t="shared" si="2"/>
        <v>75</v>
      </c>
      <c r="J37" s="39">
        <f xml:space="preserve"> 0.0000006*($E$13/50)^3 - 0.00001*($E$13/50)^2 - 0.0091*($E$13/50) + 1.0051</f>
        <v>0.85334761884418642</v>
      </c>
    </row>
    <row r="38" spans="1:10">
      <c r="A38" s="38">
        <f t="shared" si="0"/>
        <v>70</v>
      </c>
      <c r="B38" s="40">
        <f xml:space="preserve"> 0.000001*($E$13/50)^3 - 0.00002*($E$13/50)^2 - 0.006*($E$13/50) + 1.0054</f>
        <v>0.90441810535214762</v>
      </c>
      <c r="E38" s="38">
        <f t="shared" si="1"/>
        <v>70</v>
      </c>
      <c r="F38" s="39">
        <f xml:space="preserve"> 0.000002*($E$13/50)^3 - 0.00006*($E$13/50)^2 - 0.007*($E$13/50) + 1.0036</f>
        <v>0.87945556545802572</v>
      </c>
      <c r="I38" s="38">
        <f t="shared" si="2"/>
        <v>70</v>
      </c>
      <c r="J38" s="39">
        <f xml:space="preserve"> 0.0000009*($E$13/50)^3 - 0.00003*($E$13/50)^2 - 0.0091*($E$13/50) + 1.005</f>
        <v>0.84907695375425418</v>
      </c>
    </row>
    <row r="39" spans="1:10">
      <c r="A39" s="38">
        <f t="shared" si="0"/>
        <v>65</v>
      </c>
      <c r="B39" s="40">
        <f xml:space="preserve"> 0.000002*($E$13/50)^3 - 0.00003*($E$13/50)^2 - 0.0062*($E$13/50) + 1.0058</f>
        <v>0.90333950608769986</v>
      </c>
      <c r="E39" s="38">
        <f t="shared" si="1"/>
        <v>65</v>
      </c>
      <c r="F39" s="39">
        <f xml:space="preserve"> 0.000002*($E$13/50)^3 - 0.00006*($E$13/50)^2 - 0.0073*($E$13/50) + 1.0034</f>
        <v>0.87425268692452196</v>
      </c>
      <c r="I39" s="38">
        <f t="shared" si="2"/>
        <v>65</v>
      </c>
      <c r="J39" s="39">
        <f xml:space="preserve"> 0.000001*($E$13/50)^3 - 0.00005*($E$13/50)^2 - 0.0091*($E$13/50) + 1.0049</f>
        <v>0.8438787626322779</v>
      </c>
    </row>
    <row r="40" spans="1:10">
      <c r="A40" s="38">
        <f t="shared" si="0"/>
        <v>60</v>
      </c>
      <c r="B40" s="40">
        <f xml:space="preserve"> 0.000002*($E$13/50)^3 - 0.00004*($E$13/50)^2 - 0.0064*($E$13/50) + 1.0062</f>
        <v>0.89762327666303154</v>
      </c>
      <c r="E40" s="38">
        <f t="shared" si="1"/>
        <v>60</v>
      </c>
      <c r="F40" s="39">
        <f xml:space="preserve"> 0.000002*($E$13/50)^3 - 0.00006*($E$13/50)^2 - 0.0076*($E$13/50) + 1.0032</f>
        <v>0.86904980839101831</v>
      </c>
      <c r="I40" s="38">
        <f t="shared" si="2"/>
        <v>60</v>
      </c>
      <c r="J40" s="39">
        <f xml:space="preserve"> 0.000002*($E$13/50)^3 - 0.00007*($E$13/50)^2 - 0.0091*($E$13/50) + 1.0047</f>
        <v>0.84275443865450028</v>
      </c>
    </row>
    <row r="41" spans="1:10">
      <c r="A41" s="38">
        <f t="shared" si="0"/>
        <v>55</v>
      </c>
      <c r="B41" s="40">
        <f xml:space="preserve"> 0.000002*($E$13/50)^3 - 0.00005*($E$13/50)^2 - 0.0066*($E$13/50) + 1.0066</f>
        <v>0.89190704723836312</v>
      </c>
      <c r="E41" s="38">
        <f t="shared" si="1"/>
        <v>55</v>
      </c>
      <c r="F41" s="39">
        <f xml:space="preserve"> 0.000002*($E$13/50)^3 - 0.00006*($E$13/50)^2 - 0.0079*($E$13/50) + 1.003</f>
        <v>0.86384692985751432</v>
      </c>
      <c r="I41" s="38">
        <f t="shared" si="2"/>
        <v>55</v>
      </c>
      <c r="J41" s="39">
        <f xml:space="preserve"> 0.000002*($E$13/50)^3 - 0.00008*($E$13/50)^2 - 0.0092*($E$13/50) + 1.0046</f>
        <v>0.83820583540766647</v>
      </c>
    </row>
    <row r="42" spans="1:10">
      <c r="A42" s="38">
        <f>A41-5</f>
        <v>50</v>
      </c>
      <c r="B42" s="40">
        <f xml:space="preserve"> 0.000002*($E$13/50)^3 - 0.00006*($E$13/50)^2 - 0.0068*($E$13/50) + 1.0071</f>
        <v>0.88629081781369501</v>
      </c>
      <c r="E42" s="38">
        <f>E41-5</f>
        <v>50</v>
      </c>
      <c r="F42" s="39">
        <f xml:space="preserve"> 0.000002*($E$13/50)^3 - 0.00006*($E$13/50)^2 - 0.0081*($E$13/50) + 1.0029</f>
        <v>0.86041167750184522</v>
      </c>
      <c r="I42" s="38">
        <f>I41-5</f>
        <v>50</v>
      </c>
      <c r="J42" s="39">
        <f xml:space="preserve"> 0.000002*($E$13/50)^3 - 0.0001*($E$13/50)^2 - 0.0092*($E$13/50) + 1.0045</f>
        <v>0.83254388126966816</v>
      </c>
    </row>
    <row r="43" spans="1:10">
      <c r="A43" s="38">
        <f t="shared" si="0"/>
        <v>45</v>
      </c>
      <c r="B43" s="40">
        <f xml:space="preserve"> 0.000003*($E$13/50)^3 - 0.00006*($E$13/50)^2 - 0.0069*($E$13/50) + 1.0073</f>
        <v>0.8894608217960811</v>
      </c>
      <c r="E43" s="38">
        <f t="shared" si="1"/>
        <v>45</v>
      </c>
      <c r="F43" s="39">
        <f xml:space="preserve"> 0.000002*($E$13/50)^3 - 0.00008*($E$13/50)^2 - 0.0083*($E$13/50) + 1.003</f>
        <v>0.85161447100817766</v>
      </c>
      <c r="I43" s="38">
        <f t="shared" si="2"/>
        <v>45</v>
      </c>
      <c r="J43" s="39">
        <f xml:space="preserve"> 0.000002*($E$13/50)^3 - 0.00008*($E$13/50)^2 - 0.01*($E$13/50) + 1.0052</f>
        <v>0.82546482598499005</v>
      </c>
    </row>
    <row r="44" spans="1:10">
      <c r="A44" s="38">
        <f t="shared" si="0"/>
        <v>40</v>
      </c>
      <c r="B44" s="40">
        <f xml:space="preserve"> 0.000003*($E$13/50)^3 - 0.00007*($E$13/50)^2 - 0.0071*($E$13/50) + 1.0074</f>
        <v>0.88344459237141271</v>
      </c>
      <c r="E44" s="38">
        <f t="shared" si="1"/>
        <v>40</v>
      </c>
      <c r="F44" s="39">
        <f xml:space="preserve"> 0.000002*($E$13/50)^3 - 0.00009*($E$13/50)^2 - 0.0084*($E$13/50) + 1.0031</f>
        <v>0.84726586776134416</v>
      </c>
      <c r="I44" s="38">
        <f t="shared" si="2"/>
        <v>40</v>
      </c>
      <c r="J44" s="39">
        <f xml:space="preserve"> 0.000001*($E$13/50)^3 - 0.00006*($E$13/50)^2 - 0.0109*($E$13/50) + 1.0059</f>
        <v>0.81208051436225637</v>
      </c>
    </row>
    <row r="45" spans="1:10">
      <c r="A45" s="38">
        <f t="shared" si="0"/>
        <v>35</v>
      </c>
      <c r="B45" s="40">
        <f xml:space="preserve"> 0.000003*($E$13/50)^3 - 0.00008*($E$13/50)^2 - 0.0072*($E$13/50) + 1.0076</f>
        <v>0.87919598912457897</v>
      </c>
      <c r="E45" s="38">
        <f t="shared" si="1"/>
        <v>35</v>
      </c>
      <c r="F45" s="39">
        <f xml:space="preserve"> 0.000003*($E$13/50)^3 - 0.0001*($E$13/50)^2 - 0.0085*($E$13/50) + 1.0031</f>
        <v>0.84745489467473112</v>
      </c>
      <c r="I45" s="38">
        <f t="shared" si="2"/>
        <v>35</v>
      </c>
      <c r="J45" s="39">
        <f xml:space="preserve"> 0.000001*($E$13/50)^3 - 0.00003*($E$13/50)^2 - 0.0117*($E$13/50) + 1.0066</f>
        <v>0.80778243614657708</v>
      </c>
    </row>
    <row r="46" spans="1:10">
      <c r="A46" s="38">
        <f t="shared" si="0"/>
        <v>30</v>
      </c>
      <c r="B46" s="40">
        <f xml:space="preserve"> 0.000003*($E$13/50)^3 - 0.00009*($E$13/50)^2 - 0.0073*($E$13/50) + 1.0078</f>
        <v>0.87494738587774512</v>
      </c>
      <c r="E46" s="38">
        <f t="shared" si="1"/>
        <v>30</v>
      </c>
      <c r="F46" s="39">
        <f xml:space="preserve"> 0.000003*($E$13/50)^3 - 0.0001*($E$13/50)^2 - 0.0087*($E$13/50) + 1.0032</f>
        <v>0.84421964231906199</v>
      </c>
      <c r="I46" s="38">
        <f t="shared" si="2"/>
        <v>30</v>
      </c>
      <c r="J46" s="39">
        <f xml:space="preserve"> 0.0000007*($E$13/50)^3 - 0.00001*($E$13/50)^2 - 0.0125*($E$13/50) + 1.0073</f>
        <v>0.79931209181383278</v>
      </c>
    </row>
    <row r="47" spans="1:10">
      <c r="A47" s="38">
        <f t="shared" si="0"/>
        <v>25</v>
      </c>
      <c r="B47" s="40">
        <f xml:space="preserve"> 0.000003*($E$13/50)^3 - 0.0001*($E$13/50)^2 - 0.0075*($E$13/50) + 1.008</f>
        <v>0.86903115645307683</v>
      </c>
      <c r="E47" s="38">
        <f t="shared" si="1"/>
        <v>25</v>
      </c>
      <c r="F47" s="39">
        <f xml:space="preserve"> 0.000003*($E$13/50)^3 - 0.0001*($E$13/50)^2 - 0.0088*($E$13/50) + 1.0033</f>
        <v>0.84265201614122731</v>
      </c>
      <c r="I47" s="38">
        <f t="shared" si="2"/>
        <v>25</v>
      </c>
      <c r="J47" s="39">
        <f xml:space="preserve"> 0.0000003*($E$13/50)^3 + 0.00001*($E$13/50)^2 - 0.0134*($E$13/50) + 1.008</f>
        <v>0.78871035828723146</v>
      </c>
    </row>
    <row r="48" spans="1:10">
      <c r="A48" s="38">
        <f>A47-5</f>
        <v>20</v>
      </c>
      <c r="B48" s="40">
        <f xml:space="preserve"> 0.000003*($E$13/50)^3 - 0.00007*($E$13/50)^2 - 0.0082*($E$13/50) + 1.0091</f>
        <v>0.86680070441523238</v>
      </c>
      <c r="E48" s="38">
        <f>E47-5</f>
        <v>20</v>
      </c>
      <c r="F48" s="39">
        <f xml:space="preserve"> 0.000003*($E$13/50)^3 - 0.0001*($E$13/50)^2 - 0.0095*($E$13/50) + 1.0041</f>
        <v>0.83177863289638521</v>
      </c>
      <c r="I48" s="38">
        <f>I47-5</f>
        <v>20</v>
      </c>
      <c r="J48" s="39">
        <f xml:space="preserve"> -0.0000009*($E$13/50)^3 + 0.00004*($E$13/50)^2 - 0.0145*($E$13/50) + 1.0082</f>
        <v>0.77334424534578372</v>
      </c>
    </row>
    <row r="49" spans="1:10">
      <c r="A49" s="38">
        <f t="shared" si="0"/>
        <v>15</v>
      </c>
      <c r="B49" s="40">
        <f xml:space="preserve"> 0.000002*($E$13/50)^3 - 0.00005*($E$13/50)^2 - 0.0088*($E$13/50) + 1.0102</f>
        <v>0.85881927132600233</v>
      </c>
      <c r="E49" s="38">
        <f t="shared" si="1"/>
        <v>15</v>
      </c>
      <c r="F49" s="39">
        <f xml:space="preserve"> 0.000003*($E$13/50)^3 - 0.0001*($E$13/50)^2 - 0.0102*($E$13/50) + 1.0048</f>
        <v>0.820805249651543</v>
      </c>
      <c r="I49" s="38">
        <f t="shared" si="2"/>
        <v>15</v>
      </c>
      <c r="J49" s="39">
        <f xml:space="preserve"> -0.000002*($E$13/50)^3 + 0.00008*($E$13/50)^2 - 0.0157*($E$13/50) + 1.0084</f>
        <v>0.75955524631152271</v>
      </c>
    </row>
    <row r="50" spans="1:10">
      <c r="A50" s="38">
        <f t="shared" si="0"/>
        <v>10</v>
      </c>
      <c r="B50" s="40">
        <f xml:space="preserve"> 0.000001*($E$13/50)^3 - 0.00002*($E$13/50)^2 - 0.0095*($E$13/50) + 1.0113</f>
        <v>0.85195118912793721</v>
      </c>
      <c r="E50" s="38">
        <f t="shared" si="1"/>
        <v>10</v>
      </c>
      <c r="F50" s="39">
        <f xml:space="preserve"> 0.000002*($E$13/50)^3 - 0.0001*($E$13/50)^2 - 0.011*($E$13/50) + 1.0056</f>
        <v>0.80362661006864577</v>
      </c>
      <c r="I50" s="38">
        <f t="shared" si="2"/>
        <v>10</v>
      </c>
      <c r="J50" s="39">
        <f xml:space="preserve"> -0.000003*($E$13/50)^3 + 0.0001*($E$13/50)^2 - 0.0168*($E$13/50) + 1.0086</f>
        <v>0.74233568233311997</v>
      </c>
    </row>
    <row r="51" spans="1:10">
      <c r="A51" s="38">
        <f t="shared" si="0"/>
        <v>5</v>
      </c>
      <c r="B51" s="40">
        <f xml:space="preserve"> 0.0000008*($E$13/50)^3 + 0.000006*($E$13/50)^2 - 0.0102*($E$13/50) + 1.0124</f>
        <v>0.84768082023044877</v>
      </c>
      <c r="E51" s="38">
        <f t="shared" si="1"/>
        <v>5</v>
      </c>
      <c r="F51" s="39">
        <f xml:space="preserve"> 0.000002*($E$13/50)^3 - 0.00008*($E$13/50)^2 - 0.0117*($E$13/50) + 1.0063</f>
        <v>0.798215180961802</v>
      </c>
      <c r="I51" s="38">
        <f t="shared" si="2"/>
        <v>5</v>
      </c>
      <c r="J51" s="39">
        <f xml:space="preserve"> -0.000005*($E$13/50)^3 + 0.0001*($E$13/50)^2 - 0.018*($E$13/50) + 1.0087</f>
        <v>0.71314890787866358</v>
      </c>
    </row>
    <row r="52" spans="1:10">
      <c r="A52" s="38">
        <f t="shared" si="0"/>
        <v>0</v>
      </c>
      <c r="B52" s="40">
        <f xml:space="preserve"> 0.0000002*($E$13/50)^3 + 0.00003*($E$13/50)^2 - 0.0108*($E$13/50) + 1.0135</f>
        <v>0.84266683003290699</v>
      </c>
      <c r="E52" s="38">
        <f t="shared" si="1"/>
        <v>0</v>
      </c>
      <c r="F52" s="39">
        <f xml:space="preserve"> 0.000001*($E$13/50)^3 - 0.00007*($E$13/50)^2 - 0.0124*($E$13/50) + 1.0071</f>
        <v>0.78548514462573849</v>
      </c>
      <c r="I52" s="38">
        <f t="shared" si="2"/>
        <v>0</v>
      </c>
      <c r="J52" s="39">
        <f xml:space="preserve"> -0.000006*($E$13/50)^3 + 0.0002*($E$13/50)^2 - 0.0191*($E$13/50) + 1.0089</f>
        <v>0.71817716045225422</v>
      </c>
    </row>
    <row r="55" spans="1:10" ht="13.5" thickBot="1"/>
    <row r="56" spans="1:10" ht="15.75" thickBot="1">
      <c r="A56" s="124" t="s">
        <v>125</v>
      </c>
      <c r="B56" s="125"/>
      <c r="C56" s="125"/>
      <c r="D56" s="125"/>
      <c r="E56" s="126"/>
      <c r="F56" s="46">
        <f>'Gas Composition'!D38</f>
        <v>90</v>
      </c>
      <c r="G56" s="41" t="s">
        <v>127</v>
      </c>
    </row>
    <row r="58" spans="1:10" ht="13.5" thickBot="1"/>
    <row r="59" spans="1:10">
      <c r="A59" s="135" t="s">
        <v>126</v>
      </c>
      <c r="B59" s="136"/>
      <c r="C59" s="136"/>
      <c r="D59" s="136"/>
      <c r="E59" s="136"/>
      <c r="F59" s="136"/>
      <c r="G59" s="136"/>
      <c r="H59" s="136"/>
      <c r="I59" s="136"/>
      <c r="J59" s="137"/>
    </row>
    <row r="60" spans="1:10" ht="17.25" customHeight="1" thickBot="1">
      <c r="A60" s="138"/>
      <c r="B60" s="139"/>
      <c r="C60" s="139"/>
      <c r="D60" s="139"/>
      <c r="E60" s="139"/>
      <c r="F60" s="139"/>
      <c r="G60" s="139"/>
      <c r="H60" s="139"/>
      <c r="I60" s="139"/>
      <c r="J60" s="140"/>
    </row>
    <row r="62" spans="1:10" ht="13.5" thickBot="1"/>
    <row r="63" spans="1:10">
      <c r="A63" s="127" t="s">
        <v>120</v>
      </c>
      <c r="B63" s="129"/>
      <c r="E63" s="127" t="s">
        <v>121</v>
      </c>
      <c r="F63" s="129"/>
      <c r="I63" s="127" t="s">
        <v>122</v>
      </c>
      <c r="J63" s="129"/>
    </row>
    <row r="64" spans="1:10" ht="13.5" thickBot="1">
      <c r="A64" s="130"/>
      <c r="B64" s="132"/>
      <c r="E64" s="130"/>
      <c r="F64" s="132"/>
      <c r="I64" s="130"/>
      <c r="J64" s="132"/>
    </row>
    <row r="66" spans="1:11">
      <c r="A66" s="141" t="s">
        <v>128</v>
      </c>
      <c r="B66" s="141"/>
      <c r="E66" s="141" t="s">
        <v>128</v>
      </c>
      <c r="F66" s="141"/>
      <c r="I66" s="141" t="s">
        <v>128</v>
      </c>
      <c r="J66" s="141"/>
    </row>
    <row r="67" spans="1:11">
      <c r="A67" s="42" t="s">
        <v>129</v>
      </c>
      <c r="B67" s="42">
        <f>IF(AND($F$56&lt;=150,$F$56&gt;100),A$32,IF(AND($F$56&lt;=100,$F$56&gt;75),A$37,IF(AND($F$56&lt;=75,$F$56&gt;50),A$42,IF(AND($F$56&lt;=50,$F$56&gt;25),A$47,A$52))))</f>
        <v>75</v>
      </c>
      <c r="C67" s="43" t="s">
        <v>127</v>
      </c>
      <c r="E67" s="42" t="s">
        <v>129</v>
      </c>
      <c r="F67" s="42">
        <f>IF(AND($F$56&lt;=150,$F$56&gt;100),E$32,IF(AND($F$56&lt;=100,$F$56&gt;75),E$37,IF(AND($F$56&lt;=75,$F$56&gt;50),E$42,IF(AND($F$56&lt;=50,$F$56&gt;25),E$47,E$52))))</f>
        <v>75</v>
      </c>
      <c r="G67" s="43" t="s">
        <v>127</v>
      </c>
      <c r="I67" s="42" t="s">
        <v>129</v>
      </c>
      <c r="J67" s="42">
        <f>IF(AND($F$56&lt;=150,$F$56&gt;100),I$32,IF(AND($F$56&lt;=100,$F$56&gt;75),I$37,IF(AND($F$56&lt;=75,$F$56&gt;50),I$42,IF(AND($F$56&lt;=50,$F$56&gt;25),I$47,I$52))))</f>
        <v>75</v>
      </c>
      <c r="K67" s="43" t="s">
        <v>127</v>
      </c>
    </row>
    <row r="68" spans="1:11">
      <c r="A68" s="42" t="s">
        <v>130</v>
      </c>
      <c r="B68" s="42">
        <f>$F$56</f>
        <v>90</v>
      </c>
      <c r="C68" s="43" t="s">
        <v>127</v>
      </c>
      <c r="E68" s="42" t="s">
        <v>130</v>
      </c>
      <c r="F68" s="42">
        <f>$F$56</f>
        <v>90</v>
      </c>
      <c r="G68" s="43" t="s">
        <v>127</v>
      </c>
      <c r="I68" s="42" t="s">
        <v>130</v>
      </c>
      <c r="J68" s="42">
        <f>$F$56</f>
        <v>90</v>
      </c>
      <c r="K68" s="43" t="s">
        <v>127</v>
      </c>
    </row>
    <row r="69" spans="1:11">
      <c r="A69" s="42" t="s">
        <v>133</v>
      </c>
      <c r="B69" s="42">
        <f>IF(AND($F$56&lt;=150,$F$56&gt;100),A$22,IF(AND($F$56&lt;=100,$F$56&gt;75),A$32,IF(AND($F$56&lt;=75,$F$56&gt;50),A$37,IF(AND($F$56&lt;=50,$F$56&gt;25),A$42,A$47))))</f>
        <v>100</v>
      </c>
      <c r="C69" s="43" t="s">
        <v>127</v>
      </c>
      <c r="E69" s="42" t="s">
        <v>133</v>
      </c>
      <c r="F69" s="42">
        <f>IF(AND($F$56&lt;=150,$F$56&gt;100),E$22,IF(AND($F$56&lt;=100,$F$56&gt;75),E$32,IF(AND($F$56&lt;=75,$F$56&gt;50),E$37,IF(AND($F$56&lt;=50,$F$56&gt;25),E$42,E$47))))</f>
        <v>100</v>
      </c>
      <c r="G69" s="43" t="s">
        <v>127</v>
      </c>
      <c r="I69" s="42" t="s">
        <v>133</v>
      </c>
      <c r="J69" s="42">
        <f>IF(AND($F$56&lt;=150,$F$56&gt;100),I$22,IF(AND($F$56&lt;=100,$F$56&gt;75),I$32,IF(AND($F$56&lt;=75,$F$56&gt;50),I$37,IF(AND($F$56&lt;=50,$F$56&gt;25),I$42,I$47))))</f>
        <v>100</v>
      </c>
      <c r="K69" s="43" t="s">
        <v>127</v>
      </c>
    </row>
    <row r="70" spans="1:11">
      <c r="A70" s="42" t="s">
        <v>131</v>
      </c>
      <c r="B70" s="42">
        <f>IF(AND($F$56&lt;=150,$F$56&gt;100),B$32,IF(AND($F$56&lt;=100,$F$56&gt;75),B$37,IF(AND($F$56&lt;=75,$F$56&gt;50),B$42,IF(AND($F$56&lt;=50,$F$56&gt;25),B$47,B$52))))</f>
        <v>0.90846670859898115</v>
      </c>
      <c r="C70" s="42"/>
      <c r="E70" s="42" t="s">
        <v>131</v>
      </c>
      <c r="F70" s="42">
        <f>IF(AND($F$56&lt;=150,$F$56&gt;100),F$32,IF(AND($F$56&lt;=100,$F$56&gt;75),F$37,IF(AND($F$56&lt;=75,$F$56&gt;50),F$42,IF(AND($F$56&lt;=50,$F$56&gt;25),F$47,F$52))))</f>
        <v>0.88289081781369494</v>
      </c>
      <c r="G70" s="42"/>
      <c r="I70" s="42" t="s">
        <v>131</v>
      </c>
      <c r="J70" s="42">
        <f>IF(AND($F$56&lt;=150,$F$56&gt;100),J$32,IF(AND($F$56&lt;=100,$F$56&gt;75),J$37,IF(AND($F$56&lt;=75,$F$56&gt;50),J$42,IF(AND($F$56&lt;=50,$F$56&gt;25),J$47,J$52))))</f>
        <v>0.85334761884418642</v>
      </c>
      <c r="K70" s="42"/>
    </row>
    <row r="71" spans="1:11">
      <c r="A71" s="42" t="s">
        <v>132</v>
      </c>
      <c r="B71" s="42">
        <f>IF(AND($F$56&lt;=150,$F$56&gt;100),B$22,IF(AND($F$56&lt;=100,$F$56&gt;75),B$32,IF(AND($F$56&lt;=75,$F$56&gt;50),B$37,IF(AND($F$56&lt;=50,$F$56&gt;25),B$42,B$47))))</f>
        <v>0.92379354205218278</v>
      </c>
      <c r="C71" s="42"/>
      <c r="E71" s="42" t="s">
        <v>132</v>
      </c>
      <c r="F71" s="42">
        <f>IF(AND($F$56&lt;=150,$F$56&gt;100),F$22,IF(AND($F$56&lt;=100,$F$56&gt;75),F$32,IF(AND($F$56&lt;=75,$F$56&gt;50),F$37,IF(AND($F$56&lt;=50,$F$56&gt;25),F$42,F$47))))</f>
        <v>0.90223630126985821</v>
      </c>
      <c r="G71" s="42"/>
      <c r="I71" s="42" t="s">
        <v>132</v>
      </c>
      <c r="J71" s="42">
        <f>IF(AND($F$56&lt;=150,$F$56&gt;100),J$22,IF(AND($F$56&lt;=100,$F$56&gt;75),J$32,IF(AND($F$56&lt;=75,$F$56&gt;50),J$37,IF(AND($F$56&lt;=50,$F$56&gt;25),J$42,J$47))))</f>
        <v>0.87571335802899952</v>
      </c>
      <c r="K71" s="42"/>
    </row>
    <row r="73" spans="1:11" ht="13.5" thickBot="1"/>
    <row r="74" spans="1:11" ht="18.75" thickBot="1">
      <c r="A74" s="44" t="s">
        <v>123</v>
      </c>
      <c r="B74" s="150">
        <f>((B68-B67)*(B71-B70))/(B69-B67)+B70</f>
        <v>0.91766280867090211</v>
      </c>
      <c r="C74" s="151"/>
      <c r="E74" s="44" t="s">
        <v>123</v>
      </c>
      <c r="F74" s="150">
        <f>((F68-F67)*(F71-F70))/(F69-F67)+F70</f>
        <v>0.89449810788739292</v>
      </c>
      <c r="G74" s="151"/>
      <c r="I74" s="44" t="s">
        <v>123</v>
      </c>
      <c r="J74" s="150">
        <f>((J68-J67)*(J71-J70))/(J69-J67)+J70</f>
        <v>0.86676706235507428</v>
      </c>
      <c r="K74" s="151"/>
    </row>
    <row r="77" spans="1:11" ht="13.5" thickBot="1"/>
    <row r="78" spans="1:11">
      <c r="A78" s="135" t="s">
        <v>134</v>
      </c>
      <c r="B78" s="136"/>
      <c r="C78" s="136"/>
      <c r="D78" s="136"/>
      <c r="E78" s="136"/>
      <c r="F78" s="136"/>
      <c r="G78" s="136"/>
      <c r="H78" s="136"/>
      <c r="I78" s="136"/>
      <c r="J78" s="137"/>
    </row>
    <row r="79" spans="1:11" ht="18.75" customHeight="1" thickBot="1">
      <c r="A79" s="138"/>
      <c r="B79" s="139"/>
      <c r="C79" s="139"/>
      <c r="D79" s="139"/>
      <c r="E79" s="139"/>
      <c r="F79" s="139"/>
      <c r="G79" s="139"/>
      <c r="H79" s="139"/>
      <c r="I79" s="139"/>
      <c r="J79" s="140"/>
    </row>
    <row r="81" spans="2:9">
      <c r="B81" s="45"/>
      <c r="C81" s="45"/>
      <c r="D81" s="45"/>
      <c r="G81" s="45"/>
      <c r="H81" s="45"/>
      <c r="I81" s="45"/>
    </row>
    <row r="82" spans="2:9">
      <c r="D82" s="152" t="s">
        <v>128</v>
      </c>
      <c r="E82" s="152"/>
    </row>
    <row r="83" spans="2:9">
      <c r="B83" s="153"/>
      <c r="C83" s="153"/>
      <c r="D83" s="42" t="s">
        <v>129</v>
      </c>
      <c r="E83" s="42">
        <f>IF($H$9="Molecular Weight",IF(AND($D$11&lt;=18.85,$D$11&gt;17.4),17.4,15.95),IF(AND($D$11&lt;=0.65,$D$11&gt;0.6),0.6,0.55))</f>
        <v>15.95</v>
      </c>
      <c r="F83" s="42" t="str">
        <f>IF($E$11="lbm/lbmol", "lbm/lbmol","")</f>
        <v/>
      </c>
    </row>
    <row r="84" spans="2:9">
      <c r="B84" s="18"/>
      <c r="C84" s="18"/>
      <c r="D84" s="42" t="s">
        <v>130</v>
      </c>
      <c r="E84" s="42">
        <f>$D$11</f>
        <v>16.619385035480004</v>
      </c>
      <c r="F84" s="42" t="str">
        <f>IF($E$11="lbm/lbmol", "lbm/lbmol","")</f>
        <v/>
      </c>
    </row>
    <row r="85" spans="2:9">
      <c r="B85" s="18"/>
      <c r="C85" s="18"/>
      <c r="D85" s="42" t="s">
        <v>133</v>
      </c>
      <c r="E85" s="42">
        <f>IF($H$9="Molecular Weight",IF(AND($D$11&lt;=18.85,$D$11&gt;17.4),18.85,17.4),IF(AND($D$11&lt;=0.65,$D$11&gt;0.6),0.65,0.6))</f>
        <v>17.399999999999999</v>
      </c>
      <c r="F85" s="42" t="str">
        <f>IF($E$11="lbm/lbmol", "lbm/lbmol","")</f>
        <v/>
      </c>
    </row>
    <row r="86" spans="2:9">
      <c r="B86" s="18"/>
      <c r="C86" s="18"/>
      <c r="D86" s="42" t="s">
        <v>131</v>
      </c>
      <c r="E86" s="42">
        <f>IF($H$9="Molecular Weight",IF(AND($D$11&lt;=18.85,$D$11&gt;17.4),$F$74,$B$74),IF(AND($D$11&lt;=0.65,$D$11&gt;0.6),$F$74,$B$74))</f>
        <v>0.91766280867090211</v>
      </c>
      <c r="F86" s="42"/>
    </row>
    <row r="87" spans="2:9">
      <c r="B87" s="18"/>
      <c r="C87" s="18"/>
      <c r="D87" s="42" t="s">
        <v>135</v>
      </c>
      <c r="E87" s="42">
        <f>IF($H$9="Molecular Weight",IF(AND($D$11&lt;=18.85,$D$11&gt;17.4),$K$74,$F$74),IF(AND($D$11&lt;=0.65,$D$11&gt;0.6),$J$74,$F$74))</f>
        <v>0.89449810788739292</v>
      </c>
      <c r="F87" s="42"/>
    </row>
    <row r="88" spans="2:9">
      <c r="B88" s="18"/>
      <c r="C88" s="18"/>
    </row>
    <row r="90" spans="2:9" ht="13.5" thickBot="1"/>
    <row r="91" spans="2:9">
      <c r="C91" s="142" t="s">
        <v>123</v>
      </c>
      <c r="D91" s="143"/>
      <c r="E91" s="146">
        <f>ABS(((E84-E83)*(E87-E86))/(E85-E83))+E87</f>
        <v>0.90519197275349839</v>
      </c>
      <c r="F91" s="147"/>
    </row>
    <row r="92" spans="2:9" ht="13.5" thickBot="1">
      <c r="C92" s="144"/>
      <c r="D92" s="145"/>
      <c r="E92" s="148"/>
      <c r="F92" s="149"/>
    </row>
  </sheetData>
  <sheetProtection password="CF78" sheet="1" objects="1" scenarios="1"/>
  <mergeCells count="26">
    <mergeCell ref="A66:B66"/>
    <mergeCell ref="E66:F66"/>
    <mergeCell ref="I66:J66"/>
    <mergeCell ref="C91:D92"/>
    <mergeCell ref="E91:F92"/>
    <mergeCell ref="B74:C74"/>
    <mergeCell ref="F74:G74"/>
    <mergeCell ref="J74:K74"/>
    <mergeCell ref="A78:J79"/>
    <mergeCell ref="D82:E82"/>
    <mergeCell ref="B83:C83"/>
    <mergeCell ref="A56:E56"/>
    <mergeCell ref="A59:J60"/>
    <mergeCell ref="A63:B64"/>
    <mergeCell ref="E63:F64"/>
    <mergeCell ref="I63:J64"/>
    <mergeCell ref="A13:D13"/>
    <mergeCell ref="A16:J17"/>
    <mergeCell ref="A19:B20"/>
    <mergeCell ref="E19:F20"/>
    <mergeCell ref="I19:J20"/>
    <mergeCell ref="A1:J2"/>
    <mergeCell ref="A3:J5"/>
    <mergeCell ref="A7:G7"/>
    <mergeCell ref="H9:I9"/>
    <mergeCell ref="A11:C11"/>
  </mergeCells>
  <pageMargins left="0.7" right="0.7" top="0.75" bottom="0.75" header="0.3" footer="0.3"/>
  <ignoredErrors>
    <ignoredError sqref="E13 F56" unlockedFormula="1"/>
  </ignoredErrors>
</worksheet>
</file>

<file path=xl/worksheets/sheet3.xml><?xml version="1.0" encoding="utf-8"?>
<worksheet xmlns="http://schemas.openxmlformats.org/spreadsheetml/2006/main" xmlns:r="http://schemas.openxmlformats.org/officeDocument/2006/relationships">
  <dimension ref="A1:E26"/>
  <sheetViews>
    <sheetView workbookViewId="0">
      <selection activeCell="B3" sqref="B3"/>
    </sheetView>
  </sheetViews>
  <sheetFormatPr defaultRowHeight="12.75"/>
  <cols>
    <col min="1" max="1" width="34.28515625" customWidth="1"/>
    <col min="2" max="2" width="11.42578125" customWidth="1"/>
    <col min="3" max="3" width="4" customWidth="1"/>
  </cols>
  <sheetData>
    <row r="1" spans="1:5">
      <c r="A1" s="66" t="s">
        <v>238</v>
      </c>
      <c r="E1" s="55" t="s">
        <v>239</v>
      </c>
    </row>
    <row r="3" spans="1:5">
      <c r="A3" s="57" t="s">
        <v>221</v>
      </c>
      <c r="B3" s="62">
        <f>'Gas Composition'!D34</f>
        <v>35</v>
      </c>
      <c r="C3" s="57" t="s">
        <v>223</v>
      </c>
    </row>
    <row r="4" spans="1:5">
      <c r="A4" s="57" t="s">
        <v>228</v>
      </c>
      <c r="B4" s="60">
        <f>14.54*((55096-(B3-361))/(55096+(B3-361)))</f>
        <v>14.713088917290486</v>
      </c>
      <c r="C4" s="57" t="s">
        <v>224</v>
      </c>
    </row>
    <row r="5" spans="1:5">
      <c r="A5" s="57" t="s">
        <v>220</v>
      </c>
      <c r="B5" s="69">
        <f>'Gas Composition'!D36</f>
        <v>819.1</v>
      </c>
      <c r="C5" s="57" t="s">
        <v>119</v>
      </c>
    </row>
    <row r="6" spans="1:5">
      <c r="A6" s="61" t="s">
        <v>229</v>
      </c>
      <c r="B6" s="60">
        <f>Patm+B5</f>
        <v>833.81308891729054</v>
      </c>
      <c r="C6" s="57" t="s">
        <v>222</v>
      </c>
    </row>
    <row r="7" spans="1:5">
      <c r="A7" s="57" t="s">
        <v>225</v>
      </c>
      <c r="B7" s="62">
        <f>'Gas Composition'!D38</f>
        <v>90</v>
      </c>
      <c r="C7" s="57" t="s">
        <v>226</v>
      </c>
    </row>
    <row r="8" spans="1:5">
      <c r="A8" s="61" t="s">
        <v>229</v>
      </c>
      <c r="B8" s="59">
        <f>B7+459.67</f>
        <v>549.67000000000007</v>
      </c>
      <c r="C8" s="57" t="s">
        <v>227</v>
      </c>
    </row>
    <row r="9" spans="1:5">
      <c r="A9" s="57" t="s">
        <v>216</v>
      </c>
      <c r="B9" s="65">
        <f>'Gas Composition'!F31</f>
        <v>0.58174279320144795</v>
      </c>
    </row>
    <row r="10" spans="1:5">
      <c r="A10" s="57" t="s">
        <v>217</v>
      </c>
      <c r="B10" s="59">
        <f>'Gas Composition'!D24</f>
        <v>0.54290000000000005</v>
      </c>
      <c r="C10" s="57" t="s">
        <v>219</v>
      </c>
    </row>
    <row r="11" spans="1:5">
      <c r="A11" s="57" t="s">
        <v>218</v>
      </c>
      <c r="B11" s="59">
        <f>'Gas Composition'!D28</f>
        <v>0.36330000000000001</v>
      </c>
      <c r="C11" s="57" t="s">
        <v>219</v>
      </c>
    </row>
    <row r="13" spans="1:5">
      <c r="D13" t="s">
        <v>191</v>
      </c>
    </row>
    <row r="14" spans="1:5">
      <c r="A14" t="s">
        <v>192</v>
      </c>
      <c r="B14">
        <f>((226.29*T/(99.15+211.9*SG-CO-1.681*N)-460)+460)/500</f>
        <v>1.1242926969979199</v>
      </c>
      <c r="D14" t="s">
        <v>193</v>
      </c>
    </row>
    <row r="15" spans="1:5">
      <c r="A15" t="s">
        <v>194</v>
      </c>
      <c r="B15">
        <f>((156.47*(P-Patm))/(160.8-7.22*SG+CO-0.392*N)+14.7)/1000</f>
        <v>0.83103330762716954</v>
      </c>
      <c r="D15" t="s">
        <v>195</v>
      </c>
    </row>
    <row r="16" spans="1:5">
      <c r="A16" t="s">
        <v>196</v>
      </c>
      <c r="B16">
        <f>0.0330378/X^2-0.0221323/X^3+0.0161353/X^5</f>
        <v>1.9545364075434543E-2</v>
      </c>
      <c r="D16" t="s">
        <v>197</v>
      </c>
    </row>
    <row r="17" spans="1:4">
      <c r="A17" t="s">
        <v>198</v>
      </c>
      <c r="B17" s="57">
        <f>(0.265827/X^2+0.0457697/X^4-0.133185/X)/Y</f>
        <v>6.1643839336454658</v>
      </c>
      <c r="C17" s="57"/>
      <c r="D17" t="s">
        <v>199</v>
      </c>
    </row>
    <row r="18" spans="1:4">
      <c r="A18" t="s">
        <v>200</v>
      </c>
      <c r="B18" s="57">
        <f>1-0.00075*Z^2.3*(2-2.71828^(-20*(1.09-X)))</f>
        <v>0.99999287837967121</v>
      </c>
      <c r="C18" s="57"/>
      <c r="D18" t="s">
        <v>201</v>
      </c>
    </row>
    <row r="19" spans="1:4">
      <c r="A19" t="s">
        <v>202</v>
      </c>
      <c r="B19" s="57">
        <f>(1.317*(1.09-X)^4)*Z</f>
        <v>1.5135987980362512E-6</v>
      </c>
      <c r="C19" s="57"/>
      <c r="D19" t="s">
        <v>203</v>
      </c>
    </row>
    <row r="20" spans="1:4">
      <c r="A20" t="s">
        <v>204</v>
      </c>
      <c r="B20" s="57">
        <f>G-(1.317*(1.09-X)^4*Z)*(1.69-Z^2)-H*(1.69-Z^2)</f>
        <v>0.99998985304791366</v>
      </c>
      <c r="C20" s="57"/>
      <c r="D20" t="s">
        <v>205</v>
      </c>
    </row>
    <row r="21" spans="1:4">
      <c r="A21" t="s">
        <v>206</v>
      </c>
      <c r="B21" s="57">
        <f>9*D-2*Y*D^3</f>
        <v>46.322674985395281</v>
      </c>
      <c r="C21" s="57"/>
      <c r="D21" t="s">
        <v>207</v>
      </c>
    </row>
    <row r="22" spans="1:4">
      <c r="A22" t="s">
        <v>208</v>
      </c>
      <c r="B22" s="57">
        <f>A/(54*Y*Z^3)-B/(2*Y*Z^2)</f>
        <v>39.430518740347985</v>
      </c>
      <c r="C22" s="57"/>
      <c r="D22" t="s">
        <v>209</v>
      </c>
    </row>
    <row r="23" spans="1:4">
      <c r="A23" t="s">
        <v>210</v>
      </c>
      <c r="B23" s="57">
        <f>(3-Y*D^2)/(9*Y*Z^2)</f>
        <v>18.580737797803046</v>
      </c>
      <c r="C23" s="57"/>
      <c r="D23" t="s">
        <v>211</v>
      </c>
    </row>
    <row r="24" spans="1:4">
      <c r="A24" t="s">
        <v>137</v>
      </c>
      <c r="B24" s="57">
        <f>(J+(J^2+K^3)^0.5)^(1/3)</f>
        <v>5.0488991307452071</v>
      </c>
      <c r="C24" s="57"/>
      <c r="D24" t="s">
        <v>212</v>
      </c>
    </row>
    <row r="25" spans="1:4" ht="13.5" thickBot="1">
      <c r="A25" t="s">
        <v>213</v>
      </c>
      <c r="B25" s="57">
        <f>(0.00132/X^3.25+1)^2</f>
        <v>1.0018048525915588</v>
      </c>
      <c r="C25" s="57"/>
      <c r="D25" t="s">
        <v>214</v>
      </c>
    </row>
    <row r="26" spans="1:4" ht="16.5" thickBot="1">
      <c r="A26" s="91" t="s">
        <v>189</v>
      </c>
      <c r="B26" s="93">
        <f>L/(((3-Y*D^2)/(9*Y*Z^2))/F-F+D/(3*Z))</f>
        <v>0.90756748709529733</v>
      </c>
      <c r="C26" s="58"/>
      <c r="D26" t="s">
        <v>215</v>
      </c>
    </row>
  </sheetData>
  <sheetProtection password="CF78" sheet="1" objects="1" scenarios="1"/>
  <pageMargins left="0.7" right="0.7" top="0.75" bottom="0.75" header="0.3" footer="0.3"/>
  <ignoredErrors>
    <ignoredError sqref="B3" unlockedFormula="1"/>
  </ignoredErrors>
  <legacyDrawing r:id="rId1"/>
</worksheet>
</file>

<file path=xl/worksheets/sheet4.xml><?xml version="1.0" encoding="utf-8"?>
<worksheet xmlns="http://schemas.openxmlformats.org/spreadsheetml/2006/main" xmlns:r="http://schemas.openxmlformats.org/officeDocument/2006/relationships">
  <dimension ref="A1:AF53"/>
  <sheetViews>
    <sheetView workbookViewId="0">
      <selection activeCell="Y30" sqref="Y30"/>
    </sheetView>
  </sheetViews>
  <sheetFormatPr defaultRowHeight="12.75"/>
  <cols>
    <col min="1" max="1" width="16.140625" style="17" customWidth="1"/>
    <col min="2" max="32" width="11.28515625" style="17" customWidth="1"/>
    <col min="33" max="16384" width="9.140625" style="17"/>
  </cols>
  <sheetData>
    <row r="1" spans="1:32">
      <c r="A1" s="154" t="s">
        <v>5</v>
      </c>
      <c r="B1" s="154"/>
      <c r="C1" s="154"/>
      <c r="D1" s="154"/>
    </row>
    <row r="2" spans="1:32">
      <c r="A2" s="154"/>
      <c r="B2" s="154"/>
      <c r="C2" s="154"/>
      <c r="D2" s="154"/>
      <c r="G2" s="160" t="s">
        <v>72</v>
      </c>
      <c r="H2" s="161"/>
      <c r="I2" s="161"/>
      <c r="J2" s="161"/>
      <c r="K2" s="161"/>
    </row>
    <row r="3" spans="1:32">
      <c r="A3" s="154"/>
      <c r="B3" s="154"/>
      <c r="C3" s="154"/>
      <c r="D3" s="154"/>
      <c r="E3" s="18"/>
      <c r="F3" s="18"/>
      <c r="G3" s="161"/>
      <c r="H3" s="161"/>
      <c r="I3" s="161"/>
      <c r="J3" s="161"/>
      <c r="K3" s="161"/>
    </row>
    <row r="4" spans="1:32" ht="13.5" thickBot="1">
      <c r="A4" s="19"/>
      <c r="B4" s="18"/>
    </row>
    <row r="5" spans="1:32" ht="18.75" thickBot="1">
      <c r="A5" s="20"/>
      <c r="B5" s="155" t="s">
        <v>12</v>
      </c>
      <c r="C5" s="156"/>
      <c r="D5" s="156"/>
      <c r="E5" s="156"/>
      <c r="F5" s="156"/>
      <c r="G5" s="156"/>
      <c r="H5" s="156"/>
      <c r="I5" s="156"/>
      <c r="J5" s="156"/>
      <c r="K5" s="156"/>
      <c r="L5" s="156"/>
      <c r="M5" s="156"/>
      <c r="N5" s="157"/>
      <c r="O5" s="158" t="s">
        <v>12</v>
      </c>
      <c r="P5" s="158"/>
      <c r="Q5" s="158"/>
      <c r="R5" s="158"/>
      <c r="S5" s="158"/>
      <c r="T5" s="158"/>
      <c r="U5" s="158"/>
      <c r="V5" s="158"/>
      <c r="W5" s="158"/>
      <c r="X5" s="158"/>
      <c r="Y5" s="158"/>
      <c r="Z5" s="158"/>
      <c r="AA5" s="158"/>
      <c r="AB5" s="158"/>
      <c r="AC5" s="158"/>
      <c r="AD5" s="158"/>
      <c r="AE5" s="158"/>
      <c r="AF5" s="159"/>
    </row>
    <row r="6" spans="1:32">
      <c r="B6" s="21">
        <v>150</v>
      </c>
      <c r="C6" s="22">
        <f>B6-5</f>
        <v>145</v>
      </c>
      <c r="D6" s="22">
        <f t="shared" ref="D6:AF6" si="0">C6-5</f>
        <v>140</v>
      </c>
      <c r="E6" s="22">
        <f t="shared" si="0"/>
        <v>135</v>
      </c>
      <c r="F6" s="22">
        <f t="shared" si="0"/>
        <v>130</v>
      </c>
      <c r="G6" s="22">
        <f t="shared" si="0"/>
        <v>125</v>
      </c>
      <c r="H6" s="22">
        <f t="shared" si="0"/>
        <v>120</v>
      </c>
      <c r="I6" s="22">
        <f t="shared" si="0"/>
        <v>115</v>
      </c>
      <c r="J6" s="22">
        <f t="shared" si="0"/>
        <v>110</v>
      </c>
      <c r="K6" s="22">
        <f t="shared" si="0"/>
        <v>105</v>
      </c>
      <c r="L6" s="23">
        <f t="shared" si="0"/>
        <v>100</v>
      </c>
      <c r="M6" s="22">
        <f t="shared" si="0"/>
        <v>95</v>
      </c>
      <c r="N6" s="22">
        <f t="shared" si="0"/>
        <v>90</v>
      </c>
      <c r="O6" s="22">
        <f t="shared" si="0"/>
        <v>85</v>
      </c>
      <c r="P6" s="22">
        <f t="shared" si="0"/>
        <v>80</v>
      </c>
      <c r="Q6" s="23">
        <f t="shared" si="0"/>
        <v>75</v>
      </c>
      <c r="R6" s="22">
        <f t="shared" si="0"/>
        <v>70</v>
      </c>
      <c r="S6" s="22">
        <f t="shared" si="0"/>
        <v>65</v>
      </c>
      <c r="T6" s="22">
        <f t="shared" si="0"/>
        <v>60</v>
      </c>
      <c r="U6" s="22">
        <f t="shared" si="0"/>
        <v>55</v>
      </c>
      <c r="V6" s="23">
        <f t="shared" si="0"/>
        <v>50</v>
      </c>
      <c r="W6" s="22">
        <f t="shared" si="0"/>
        <v>45</v>
      </c>
      <c r="X6" s="22">
        <f t="shared" si="0"/>
        <v>40</v>
      </c>
      <c r="Y6" s="22">
        <f t="shared" si="0"/>
        <v>35</v>
      </c>
      <c r="Z6" s="22">
        <f t="shared" si="0"/>
        <v>30</v>
      </c>
      <c r="AA6" s="23">
        <f t="shared" si="0"/>
        <v>25</v>
      </c>
      <c r="AB6" s="22">
        <f t="shared" si="0"/>
        <v>20</v>
      </c>
      <c r="AC6" s="22">
        <f t="shared" si="0"/>
        <v>15</v>
      </c>
      <c r="AD6" s="22">
        <f t="shared" si="0"/>
        <v>10</v>
      </c>
      <c r="AE6" s="22">
        <f t="shared" si="0"/>
        <v>5</v>
      </c>
      <c r="AF6" s="23">
        <f t="shared" si="0"/>
        <v>0</v>
      </c>
    </row>
    <row r="7" spans="1:32" ht="12.75" customHeight="1">
      <c r="A7" s="24" t="s">
        <v>1</v>
      </c>
      <c r="B7" s="25" t="s">
        <v>3</v>
      </c>
      <c r="C7" s="26" t="s">
        <v>3</v>
      </c>
      <c r="D7" s="26" t="s">
        <v>3</v>
      </c>
      <c r="E7" s="26" t="s">
        <v>3</v>
      </c>
      <c r="F7" s="26" t="s">
        <v>3</v>
      </c>
      <c r="G7" s="26" t="s">
        <v>3</v>
      </c>
      <c r="H7" s="26" t="s">
        <v>3</v>
      </c>
      <c r="I7" s="26" t="s">
        <v>3</v>
      </c>
      <c r="J7" s="26" t="s">
        <v>3</v>
      </c>
      <c r="K7" s="26" t="s">
        <v>3</v>
      </c>
      <c r="L7" s="25" t="s">
        <v>3</v>
      </c>
      <c r="M7" s="26" t="s">
        <v>3</v>
      </c>
      <c r="N7" s="26" t="s">
        <v>3</v>
      </c>
      <c r="O7" s="26" t="s">
        <v>3</v>
      </c>
      <c r="P7" s="26" t="s">
        <v>3</v>
      </c>
      <c r="Q7" s="27" t="s">
        <v>3</v>
      </c>
      <c r="R7" s="26" t="s">
        <v>3</v>
      </c>
      <c r="S7" s="26" t="s">
        <v>3</v>
      </c>
      <c r="T7" s="26" t="s">
        <v>3</v>
      </c>
      <c r="U7" s="26" t="s">
        <v>3</v>
      </c>
      <c r="V7" s="28" t="s">
        <v>3</v>
      </c>
      <c r="W7" s="26" t="s">
        <v>3</v>
      </c>
      <c r="X7" s="26" t="s">
        <v>3</v>
      </c>
      <c r="Y7" s="26" t="s">
        <v>3</v>
      </c>
      <c r="Z7" s="26" t="s">
        <v>3</v>
      </c>
      <c r="AA7" s="28" t="s">
        <v>3</v>
      </c>
      <c r="AB7" s="26" t="s">
        <v>3</v>
      </c>
      <c r="AC7" s="26" t="s">
        <v>3</v>
      </c>
      <c r="AD7" s="26" t="s">
        <v>3</v>
      </c>
      <c r="AE7" s="26" t="s">
        <v>3</v>
      </c>
      <c r="AF7" s="28" t="s">
        <v>3</v>
      </c>
    </row>
    <row r="8" spans="1:32">
      <c r="A8" s="29">
        <v>0</v>
      </c>
      <c r="B8" s="28">
        <v>1</v>
      </c>
      <c r="C8" s="30">
        <v>1</v>
      </c>
      <c r="D8" s="30">
        <v>1</v>
      </c>
      <c r="E8" s="30">
        <v>1</v>
      </c>
      <c r="F8" s="30">
        <v>1</v>
      </c>
      <c r="G8" s="30">
        <v>1</v>
      </c>
      <c r="H8" s="30">
        <v>1</v>
      </c>
      <c r="I8" s="30">
        <v>1</v>
      </c>
      <c r="J8" s="30">
        <v>1</v>
      </c>
      <c r="K8" s="30">
        <v>1</v>
      </c>
      <c r="L8" s="28">
        <v>1</v>
      </c>
      <c r="M8" s="30">
        <v>1</v>
      </c>
      <c r="N8" s="30">
        <v>1</v>
      </c>
      <c r="O8" s="30">
        <v>1</v>
      </c>
      <c r="P8" s="30">
        <v>1</v>
      </c>
      <c r="Q8" s="28">
        <v>1</v>
      </c>
      <c r="R8" s="30">
        <v>1</v>
      </c>
      <c r="S8" s="30">
        <v>1</v>
      </c>
      <c r="T8" s="30">
        <v>1</v>
      </c>
      <c r="U8" s="30">
        <v>1</v>
      </c>
      <c r="V8" s="28">
        <v>1</v>
      </c>
      <c r="W8" s="30">
        <v>1</v>
      </c>
      <c r="X8" s="30">
        <v>1</v>
      </c>
      <c r="Y8" s="30">
        <v>1</v>
      </c>
      <c r="Z8" s="30">
        <v>1</v>
      </c>
      <c r="AA8" s="28">
        <v>1</v>
      </c>
      <c r="AB8" s="30">
        <v>1</v>
      </c>
      <c r="AC8" s="30">
        <v>1</v>
      </c>
      <c r="AD8" s="30">
        <v>1</v>
      </c>
      <c r="AE8" s="30">
        <v>1</v>
      </c>
      <c r="AF8" s="28">
        <v>1</v>
      </c>
    </row>
    <row r="9" spans="1:32">
      <c r="A9" s="29">
        <f>A8+50</f>
        <v>50</v>
      </c>
      <c r="B9" s="28">
        <v>0.997</v>
      </c>
      <c r="C9" s="30">
        <f>((C$6-$L$6)*($B9-$L9))/($B$6-$L$6) + $L9</f>
        <v>0.99670000000000003</v>
      </c>
      <c r="D9" s="30">
        <f>((D$6-$L$6)*($B9-$L9))/($B$6-$L$6) + $L9</f>
        <v>0.99639999999999995</v>
      </c>
      <c r="E9" s="30">
        <f t="shared" ref="E9:K24" si="1">((E$6-$L$6)*($B9-$L9))/($B$6-$L$6) + $L9</f>
        <v>0.99609999999999999</v>
      </c>
      <c r="F9" s="30">
        <f t="shared" si="1"/>
        <v>0.99580000000000002</v>
      </c>
      <c r="G9" s="30">
        <f t="shared" si="1"/>
        <v>0.99550000000000005</v>
      </c>
      <c r="H9" s="30">
        <f t="shared" si="1"/>
        <v>0.99519999999999997</v>
      </c>
      <c r="I9" s="30">
        <f t="shared" si="1"/>
        <v>0.99490000000000001</v>
      </c>
      <c r="J9" s="30">
        <f t="shared" si="1"/>
        <v>0.99460000000000004</v>
      </c>
      <c r="K9" s="30">
        <f t="shared" si="1"/>
        <v>0.99429999999999996</v>
      </c>
      <c r="L9" s="28">
        <v>0.99399999999999999</v>
      </c>
      <c r="M9" s="30">
        <f>((M$6-$Q$6)*($L9-$Q9))/($L$6-$Q$6) + $Q9</f>
        <v>0.99380000000000002</v>
      </c>
      <c r="N9" s="30">
        <f>((N$6-$Q$6)*($L9-$Q9))/($L$6-$Q$6) + $Q9</f>
        <v>0.99360000000000004</v>
      </c>
      <c r="O9" s="30">
        <f>((O$6-$Q$6)*($L9-$Q9))/($L$6-$Q$6) + $Q9</f>
        <v>0.99339999999999995</v>
      </c>
      <c r="P9" s="30">
        <f>((P$6-$Q$6)*($L9-$Q9))/($L$6-$Q$6) + $Q9</f>
        <v>0.99319999999999997</v>
      </c>
      <c r="Q9" s="28">
        <v>0.99299999999999999</v>
      </c>
      <c r="R9" s="30">
        <f>((R$6-$V$6)*($Q9-$V9))/($Q$6-$V$6) + $V9</f>
        <v>0.99280000000000002</v>
      </c>
      <c r="S9" s="30">
        <f t="shared" ref="S9:U24" si="2">((S$6-$V$6)*($Q9-$V9))/($Q$6-$V$6) + $V9</f>
        <v>0.99260000000000004</v>
      </c>
      <c r="T9" s="30">
        <f t="shared" si="2"/>
        <v>0.99239999999999995</v>
      </c>
      <c r="U9" s="30">
        <f t="shared" si="2"/>
        <v>0.99219999999999997</v>
      </c>
      <c r="V9" s="28">
        <v>0.99199999999999999</v>
      </c>
      <c r="W9" s="30">
        <f>((W$6-$AA$6)*($V9-$AA9))/($V$6-$AA$6) + $AA9</f>
        <v>0.99160000000000004</v>
      </c>
      <c r="X9" s="30">
        <f t="shared" ref="X9:Z24" si="3">((X$6-$AA$6)*($V9-$AA9))/($V$6-$AA$6) + $AA9</f>
        <v>0.99119999999999997</v>
      </c>
      <c r="Y9" s="30">
        <f t="shared" si="3"/>
        <v>0.99080000000000001</v>
      </c>
      <c r="Z9" s="30">
        <f t="shared" si="3"/>
        <v>0.99039999999999995</v>
      </c>
      <c r="AA9" s="28">
        <v>0.99</v>
      </c>
      <c r="AB9" s="30">
        <f>((AB$6-$AF$6)*($AA9-$AF9))/($AA$6-$AF$6) + $AF9</f>
        <v>0.99</v>
      </c>
      <c r="AC9" s="30">
        <f t="shared" ref="AC9:AE24" si="4">((AC$6-$AF$6)*($AA9-$AF9))/($AA$6-$AF$6) + $AF9</f>
        <v>0.99</v>
      </c>
      <c r="AD9" s="30">
        <f t="shared" si="4"/>
        <v>0.99</v>
      </c>
      <c r="AE9" s="30">
        <f t="shared" si="4"/>
        <v>0.99</v>
      </c>
      <c r="AF9" s="28">
        <v>0.99</v>
      </c>
    </row>
    <row r="10" spans="1:32">
      <c r="A10" s="29">
        <f t="shared" ref="A10:A32" si="5">A9+50</f>
        <v>100</v>
      </c>
      <c r="B10" s="28">
        <v>0.99399999999999999</v>
      </c>
      <c r="C10" s="30">
        <f t="shared" ref="C10:K33" si="6">((C$6-$L$6)*($B10-$L10))/($B$6-$L$6) + $L10</f>
        <v>0.99360000000000004</v>
      </c>
      <c r="D10" s="30">
        <f t="shared" si="6"/>
        <v>0.99319999999999997</v>
      </c>
      <c r="E10" s="30">
        <f t="shared" si="1"/>
        <v>0.99280000000000002</v>
      </c>
      <c r="F10" s="30">
        <f t="shared" si="1"/>
        <v>0.99239999999999995</v>
      </c>
      <c r="G10" s="30">
        <f t="shared" si="1"/>
        <v>0.99199999999999999</v>
      </c>
      <c r="H10" s="30">
        <f t="shared" si="1"/>
        <v>0.99160000000000004</v>
      </c>
      <c r="I10" s="30">
        <f t="shared" si="1"/>
        <v>0.99119999999999997</v>
      </c>
      <c r="J10" s="30">
        <f t="shared" si="1"/>
        <v>0.99080000000000001</v>
      </c>
      <c r="K10" s="30">
        <f t="shared" si="1"/>
        <v>0.99039999999999995</v>
      </c>
      <c r="L10" s="28">
        <v>0.99</v>
      </c>
      <c r="M10" s="30">
        <f t="shared" ref="M10:P33" si="7">((M$6-$Q$6)*($L10-$Q10))/($L$6-$Q$6) + $Q10</f>
        <v>0.98939999999999995</v>
      </c>
      <c r="N10" s="30">
        <f t="shared" si="7"/>
        <v>0.98880000000000001</v>
      </c>
      <c r="O10" s="30">
        <f t="shared" si="7"/>
        <v>0.98819999999999997</v>
      </c>
      <c r="P10" s="30">
        <f t="shared" si="7"/>
        <v>0.98760000000000003</v>
      </c>
      <c r="Q10" s="28">
        <v>0.98699999999999999</v>
      </c>
      <c r="R10" s="30">
        <f t="shared" ref="R10:U33" si="8">((R$6-$V$6)*($Q10-$V10))/($Q$6-$V$6) + $V10</f>
        <v>0.98680000000000001</v>
      </c>
      <c r="S10" s="30">
        <f t="shared" si="2"/>
        <v>0.98660000000000003</v>
      </c>
      <c r="T10" s="30">
        <f t="shared" si="2"/>
        <v>0.98639999999999994</v>
      </c>
      <c r="U10" s="30">
        <f t="shared" si="2"/>
        <v>0.98619999999999997</v>
      </c>
      <c r="V10" s="28">
        <v>0.98599999999999999</v>
      </c>
      <c r="W10" s="30">
        <f t="shared" ref="W10:Z33" si="9">((W$6-$AA$6)*($V10-$AA10))/($V$6-$AA$6) + $AA10</f>
        <v>0.98599999999999999</v>
      </c>
      <c r="X10" s="30">
        <f t="shared" si="3"/>
        <v>0.98599999999999999</v>
      </c>
      <c r="Y10" s="30">
        <f t="shared" si="3"/>
        <v>0.98599999999999999</v>
      </c>
      <c r="Z10" s="30">
        <f t="shared" si="3"/>
        <v>0.98599999999999999</v>
      </c>
      <c r="AA10" s="28">
        <v>0.98599999999999999</v>
      </c>
      <c r="AB10" s="30">
        <f t="shared" ref="AB10:AE33" si="10">((AB$6-$AF$6)*($AA10-$AF10))/($AA$6-$AF$6) + $AF10</f>
        <v>0.98580000000000001</v>
      </c>
      <c r="AC10" s="30">
        <f t="shared" si="4"/>
        <v>0.98560000000000003</v>
      </c>
      <c r="AD10" s="30">
        <f t="shared" si="4"/>
        <v>0.98539999999999994</v>
      </c>
      <c r="AE10" s="30">
        <f t="shared" si="4"/>
        <v>0.98519999999999996</v>
      </c>
      <c r="AF10" s="28">
        <v>0.98499999999999999</v>
      </c>
    </row>
    <row r="11" spans="1:32">
      <c r="A11" s="29">
        <f t="shared" si="5"/>
        <v>150</v>
      </c>
      <c r="B11" s="28">
        <v>0.99199999999999999</v>
      </c>
      <c r="C11" s="30">
        <f t="shared" si="6"/>
        <v>0.99129999999999996</v>
      </c>
      <c r="D11" s="30">
        <f t="shared" si="6"/>
        <v>0.99060000000000004</v>
      </c>
      <c r="E11" s="30">
        <f t="shared" si="1"/>
        <v>0.9899</v>
      </c>
      <c r="F11" s="30">
        <f t="shared" si="1"/>
        <v>0.98919999999999997</v>
      </c>
      <c r="G11" s="30">
        <f t="shared" si="1"/>
        <v>0.98849999999999993</v>
      </c>
      <c r="H11" s="30">
        <f t="shared" si="1"/>
        <v>0.98780000000000001</v>
      </c>
      <c r="I11" s="30">
        <f t="shared" si="1"/>
        <v>0.98709999999999998</v>
      </c>
      <c r="J11" s="30">
        <f t="shared" si="1"/>
        <v>0.98639999999999994</v>
      </c>
      <c r="K11" s="30">
        <f t="shared" si="1"/>
        <v>0.98570000000000002</v>
      </c>
      <c r="L11" s="28">
        <v>0.98499999999999999</v>
      </c>
      <c r="M11" s="30">
        <f t="shared" si="7"/>
        <v>0.98419999999999996</v>
      </c>
      <c r="N11" s="30">
        <f t="shared" si="7"/>
        <v>0.98339999999999994</v>
      </c>
      <c r="O11" s="30">
        <f t="shared" si="7"/>
        <v>0.98260000000000003</v>
      </c>
      <c r="P11" s="30">
        <f t="shared" si="7"/>
        <v>0.98180000000000001</v>
      </c>
      <c r="Q11" s="28">
        <v>0.98099999999999998</v>
      </c>
      <c r="R11" s="30">
        <f t="shared" si="8"/>
        <v>0.98099999999999998</v>
      </c>
      <c r="S11" s="30">
        <f t="shared" si="2"/>
        <v>0.98099999999999998</v>
      </c>
      <c r="T11" s="30">
        <f t="shared" si="2"/>
        <v>0.98099999999999998</v>
      </c>
      <c r="U11" s="30">
        <f t="shared" si="2"/>
        <v>0.98099999999999998</v>
      </c>
      <c r="V11" s="28">
        <v>0.98099999999999998</v>
      </c>
      <c r="W11" s="30">
        <f t="shared" si="9"/>
        <v>0.98080000000000001</v>
      </c>
      <c r="X11" s="30">
        <f t="shared" si="3"/>
        <v>0.98060000000000003</v>
      </c>
      <c r="Y11" s="30">
        <f t="shared" si="3"/>
        <v>0.98039999999999994</v>
      </c>
      <c r="Z11" s="30">
        <f t="shared" si="3"/>
        <v>0.98019999999999996</v>
      </c>
      <c r="AA11" s="28">
        <v>0.98</v>
      </c>
      <c r="AB11" s="30">
        <f t="shared" si="10"/>
        <v>0.97860000000000003</v>
      </c>
      <c r="AC11" s="30">
        <f t="shared" si="4"/>
        <v>0.97719999999999996</v>
      </c>
      <c r="AD11" s="30">
        <f t="shared" si="4"/>
        <v>0.9758</v>
      </c>
      <c r="AE11" s="30">
        <f t="shared" si="4"/>
        <v>0.97439999999999993</v>
      </c>
      <c r="AF11" s="28">
        <v>0.97299999999999998</v>
      </c>
    </row>
    <row r="12" spans="1:32">
      <c r="A12" s="29">
        <f t="shared" si="5"/>
        <v>200</v>
      </c>
      <c r="B12" s="28">
        <v>0.98899999999999999</v>
      </c>
      <c r="C12" s="30">
        <f t="shared" si="6"/>
        <v>0.98809999999999998</v>
      </c>
      <c r="D12" s="30">
        <f t="shared" si="6"/>
        <v>0.98719999999999997</v>
      </c>
      <c r="E12" s="30">
        <f t="shared" si="1"/>
        <v>0.98629999999999995</v>
      </c>
      <c r="F12" s="30">
        <f t="shared" si="1"/>
        <v>0.98539999999999994</v>
      </c>
      <c r="G12" s="30">
        <f t="shared" si="1"/>
        <v>0.98449999999999993</v>
      </c>
      <c r="H12" s="30">
        <f t="shared" si="1"/>
        <v>0.98360000000000003</v>
      </c>
      <c r="I12" s="30">
        <f t="shared" si="1"/>
        <v>0.98270000000000002</v>
      </c>
      <c r="J12" s="30">
        <f t="shared" si="1"/>
        <v>0.98180000000000001</v>
      </c>
      <c r="K12" s="30">
        <f t="shared" si="1"/>
        <v>0.98089999999999999</v>
      </c>
      <c r="L12" s="28">
        <v>0.98</v>
      </c>
      <c r="M12" s="30">
        <f t="shared" si="7"/>
        <v>0.97899999999999998</v>
      </c>
      <c r="N12" s="30">
        <f t="shared" si="7"/>
        <v>0.97799999999999998</v>
      </c>
      <c r="O12" s="30">
        <f t="shared" si="7"/>
        <v>0.97699999999999998</v>
      </c>
      <c r="P12" s="30">
        <f t="shared" si="7"/>
        <v>0.97599999999999998</v>
      </c>
      <c r="Q12" s="28">
        <v>0.97499999999999998</v>
      </c>
      <c r="R12" s="30">
        <f t="shared" si="8"/>
        <v>0.9748</v>
      </c>
      <c r="S12" s="30">
        <f t="shared" si="2"/>
        <v>0.97460000000000002</v>
      </c>
      <c r="T12" s="30">
        <f t="shared" si="2"/>
        <v>0.97439999999999993</v>
      </c>
      <c r="U12" s="30">
        <f t="shared" si="2"/>
        <v>0.97419999999999995</v>
      </c>
      <c r="V12" s="28">
        <v>0.97399999999999998</v>
      </c>
      <c r="W12" s="30">
        <f t="shared" si="9"/>
        <v>0.97319999999999995</v>
      </c>
      <c r="X12" s="30">
        <f t="shared" si="3"/>
        <v>0.97239999999999993</v>
      </c>
      <c r="Y12" s="30">
        <f t="shared" si="3"/>
        <v>0.97160000000000002</v>
      </c>
      <c r="Z12" s="30">
        <f t="shared" si="3"/>
        <v>0.9708</v>
      </c>
      <c r="AA12" s="28">
        <v>0.97</v>
      </c>
      <c r="AB12" s="30">
        <f t="shared" si="10"/>
        <v>0.96819999999999995</v>
      </c>
      <c r="AC12" s="30">
        <f t="shared" si="4"/>
        <v>0.96639999999999993</v>
      </c>
      <c r="AD12" s="30">
        <f t="shared" si="4"/>
        <v>0.96460000000000001</v>
      </c>
      <c r="AE12" s="30">
        <f t="shared" si="4"/>
        <v>0.96279999999999999</v>
      </c>
      <c r="AF12" s="28">
        <v>0.96099999999999997</v>
      </c>
    </row>
    <row r="13" spans="1:32">
      <c r="A13" s="29">
        <f t="shared" si="5"/>
        <v>250</v>
      </c>
      <c r="B13" s="28">
        <v>0.98499999999999999</v>
      </c>
      <c r="C13" s="30">
        <f t="shared" si="6"/>
        <v>0.98399999999999999</v>
      </c>
      <c r="D13" s="30">
        <f t="shared" si="6"/>
        <v>0.98299999999999998</v>
      </c>
      <c r="E13" s="30">
        <f t="shared" si="1"/>
        <v>0.98199999999999998</v>
      </c>
      <c r="F13" s="30">
        <f t="shared" si="1"/>
        <v>0.98099999999999998</v>
      </c>
      <c r="G13" s="30">
        <f t="shared" si="1"/>
        <v>0.98</v>
      </c>
      <c r="H13" s="30">
        <f t="shared" si="1"/>
        <v>0.97899999999999998</v>
      </c>
      <c r="I13" s="30">
        <f t="shared" si="1"/>
        <v>0.97799999999999998</v>
      </c>
      <c r="J13" s="30">
        <f t="shared" si="1"/>
        <v>0.97699999999999998</v>
      </c>
      <c r="K13" s="30">
        <f t="shared" si="1"/>
        <v>0.97599999999999998</v>
      </c>
      <c r="L13" s="28">
        <v>0.97499999999999998</v>
      </c>
      <c r="M13" s="30">
        <f t="shared" si="7"/>
        <v>0.97399999999999998</v>
      </c>
      <c r="N13" s="30">
        <f t="shared" si="7"/>
        <v>0.97299999999999998</v>
      </c>
      <c r="O13" s="30">
        <f t="shared" si="7"/>
        <v>0.97199999999999998</v>
      </c>
      <c r="P13" s="30">
        <f t="shared" si="7"/>
        <v>0.97099999999999997</v>
      </c>
      <c r="Q13" s="28">
        <v>0.97</v>
      </c>
      <c r="R13" s="30">
        <f t="shared" si="8"/>
        <v>0.96899999999999997</v>
      </c>
      <c r="S13" s="30">
        <f t="shared" si="2"/>
        <v>0.96799999999999997</v>
      </c>
      <c r="T13" s="30">
        <f t="shared" si="2"/>
        <v>0.96699999999999997</v>
      </c>
      <c r="U13" s="30">
        <f t="shared" si="2"/>
        <v>0.96599999999999997</v>
      </c>
      <c r="V13" s="28">
        <v>0.96499999999999997</v>
      </c>
      <c r="W13" s="30">
        <f t="shared" si="9"/>
        <v>0.96399999999999997</v>
      </c>
      <c r="X13" s="30">
        <f t="shared" si="3"/>
        <v>0.96299999999999997</v>
      </c>
      <c r="Y13" s="30">
        <f t="shared" si="3"/>
        <v>0.96199999999999997</v>
      </c>
      <c r="Z13" s="30">
        <f t="shared" si="3"/>
        <v>0.96099999999999997</v>
      </c>
      <c r="AA13" s="28">
        <v>0.96</v>
      </c>
      <c r="AB13" s="30">
        <f t="shared" si="10"/>
        <v>0.95799999999999996</v>
      </c>
      <c r="AC13" s="30">
        <f t="shared" si="4"/>
        <v>0.95599999999999996</v>
      </c>
      <c r="AD13" s="30">
        <f t="shared" si="4"/>
        <v>0.95399999999999996</v>
      </c>
      <c r="AE13" s="30">
        <f t="shared" si="4"/>
        <v>0.95199999999999996</v>
      </c>
      <c r="AF13" s="28">
        <v>0.95</v>
      </c>
    </row>
    <row r="14" spans="1:32">
      <c r="A14" s="29">
        <f t="shared" si="5"/>
        <v>300</v>
      </c>
      <c r="B14" s="28">
        <v>0.98099999999999998</v>
      </c>
      <c r="C14" s="30">
        <f t="shared" si="6"/>
        <v>0.97989999999999999</v>
      </c>
      <c r="D14" s="30">
        <f t="shared" si="6"/>
        <v>0.9788</v>
      </c>
      <c r="E14" s="30">
        <f t="shared" si="1"/>
        <v>0.97770000000000001</v>
      </c>
      <c r="F14" s="30">
        <f t="shared" si="1"/>
        <v>0.97660000000000002</v>
      </c>
      <c r="G14" s="30">
        <f t="shared" si="1"/>
        <v>0.97550000000000003</v>
      </c>
      <c r="H14" s="30">
        <f t="shared" si="1"/>
        <v>0.97439999999999993</v>
      </c>
      <c r="I14" s="30">
        <f t="shared" si="1"/>
        <v>0.97329999999999994</v>
      </c>
      <c r="J14" s="30">
        <f t="shared" si="1"/>
        <v>0.97219999999999995</v>
      </c>
      <c r="K14" s="30">
        <f t="shared" si="1"/>
        <v>0.97109999999999996</v>
      </c>
      <c r="L14" s="28">
        <v>0.97</v>
      </c>
      <c r="M14" s="30">
        <f t="shared" si="7"/>
        <v>0.96879999999999999</v>
      </c>
      <c r="N14" s="30">
        <f t="shared" si="7"/>
        <v>0.96760000000000002</v>
      </c>
      <c r="O14" s="30">
        <f t="shared" si="7"/>
        <v>0.96639999999999993</v>
      </c>
      <c r="P14" s="30">
        <f t="shared" si="7"/>
        <v>0.96519999999999995</v>
      </c>
      <c r="Q14" s="28">
        <v>0.96399999999999997</v>
      </c>
      <c r="R14" s="30">
        <f t="shared" si="8"/>
        <v>0.96239999999999992</v>
      </c>
      <c r="S14" s="30">
        <f t="shared" si="2"/>
        <v>0.96079999999999999</v>
      </c>
      <c r="T14" s="30">
        <f t="shared" si="2"/>
        <v>0.95919999999999994</v>
      </c>
      <c r="U14" s="30">
        <f t="shared" si="2"/>
        <v>0.95760000000000001</v>
      </c>
      <c r="V14" s="28">
        <v>0.95599999999999996</v>
      </c>
      <c r="W14" s="30">
        <f t="shared" si="9"/>
        <v>0.95479999999999998</v>
      </c>
      <c r="X14" s="30">
        <f t="shared" si="3"/>
        <v>0.9536</v>
      </c>
      <c r="Y14" s="30">
        <f t="shared" si="3"/>
        <v>0.95239999999999991</v>
      </c>
      <c r="Z14" s="30">
        <f t="shared" si="3"/>
        <v>0.95119999999999993</v>
      </c>
      <c r="AA14" s="28">
        <v>0.95</v>
      </c>
      <c r="AB14" s="30">
        <f t="shared" si="10"/>
        <v>0.94799999999999995</v>
      </c>
      <c r="AC14" s="30">
        <f t="shared" si="4"/>
        <v>0.94599999999999995</v>
      </c>
      <c r="AD14" s="30">
        <f t="shared" si="4"/>
        <v>0.94399999999999995</v>
      </c>
      <c r="AE14" s="30">
        <f t="shared" si="4"/>
        <v>0.94199999999999995</v>
      </c>
      <c r="AF14" s="28">
        <v>0.94</v>
      </c>
    </row>
    <row r="15" spans="1:32">
      <c r="A15" s="29">
        <f t="shared" si="5"/>
        <v>350</v>
      </c>
      <c r="B15" s="28">
        <v>0.97899999999999998</v>
      </c>
      <c r="C15" s="30">
        <f t="shared" si="6"/>
        <v>0.97750000000000004</v>
      </c>
      <c r="D15" s="30">
        <f t="shared" si="6"/>
        <v>0.97599999999999998</v>
      </c>
      <c r="E15" s="30">
        <f t="shared" si="1"/>
        <v>0.97449999999999992</v>
      </c>
      <c r="F15" s="30">
        <f t="shared" si="1"/>
        <v>0.97299999999999998</v>
      </c>
      <c r="G15" s="30">
        <f t="shared" si="1"/>
        <v>0.97150000000000003</v>
      </c>
      <c r="H15" s="30">
        <f t="shared" si="1"/>
        <v>0.97</v>
      </c>
      <c r="I15" s="30">
        <f t="shared" si="1"/>
        <v>0.96849999999999992</v>
      </c>
      <c r="J15" s="30">
        <f t="shared" si="1"/>
        <v>0.96699999999999997</v>
      </c>
      <c r="K15" s="30">
        <f t="shared" si="1"/>
        <v>0.96550000000000002</v>
      </c>
      <c r="L15" s="28">
        <v>0.96399999999999997</v>
      </c>
      <c r="M15" s="30">
        <f t="shared" si="7"/>
        <v>0.96279999999999999</v>
      </c>
      <c r="N15" s="30">
        <f t="shared" si="7"/>
        <v>0.96160000000000001</v>
      </c>
      <c r="O15" s="30">
        <f t="shared" si="7"/>
        <v>0.96039999999999992</v>
      </c>
      <c r="P15" s="30">
        <f t="shared" si="7"/>
        <v>0.95919999999999994</v>
      </c>
      <c r="Q15" s="28">
        <v>0.95799999999999996</v>
      </c>
      <c r="R15" s="30">
        <f t="shared" si="8"/>
        <v>0.95639999999999992</v>
      </c>
      <c r="S15" s="30">
        <f t="shared" si="2"/>
        <v>0.95479999999999998</v>
      </c>
      <c r="T15" s="30">
        <f t="shared" si="2"/>
        <v>0.95319999999999994</v>
      </c>
      <c r="U15" s="30">
        <f t="shared" si="2"/>
        <v>0.9516</v>
      </c>
      <c r="V15" s="28">
        <v>0.95</v>
      </c>
      <c r="W15" s="30">
        <f t="shared" si="9"/>
        <v>0.94839999999999991</v>
      </c>
      <c r="X15" s="30">
        <f t="shared" si="3"/>
        <v>0.94679999999999997</v>
      </c>
      <c r="Y15" s="30">
        <f t="shared" si="3"/>
        <v>0.94519999999999993</v>
      </c>
      <c r="Z15" s="30">
        <f t="shared" si="3"/>
        <v>0.94359999999999999</v>
      </c>
      <c r="AA15" s="28">
        <v>0.94199999999999995</v>
      </c>
      <c r="AB15" s="30">
        <f t="shared" si="10"/>
        <v>0.93959999999999999</v>
      </c>
      <c r="AC15" s="30">
        <f t="shared" si="4"/>
        <v>0.93720000000000003</v>
      </c>
      <c r="AD15" s="30">
        <f t="shared" si="4"/>
        <v>0.93479999999999996</v>
      </c>
      <c r="AE15" s="30">
        <f t="shared" si="4"/>
        <v>0.93240000000000001</v>
      </c>
      <c r="AF15" s="28">
        <v>0.93</v>
      </c>
    </row>
    <row r="16" spans="1:32">
      <c r="A16" s="29">
        <f t="shared" si="5"/>
        <v>400</v>
      </c>
      <c r="B16" s="28">
        <v>0.97599999999999998</v>
      </c>
      <c r="C16" s="30">
        <f t="shared" si="6"/>
        <v>0.97439999999999993</v>
      </c>
      <c r="D16" s="30">
        <f t="shared" si="6"/>
        <v>0.9728</v>
      </c>
      <c r="E16" s="30">
        <f t="shared" si="1"/>
        <v>0.97119999999999995</v>
      </c>
      <c r="F16" s="30">
        <f t="shared" si="1"/>
        <v>0.96960000000000002</v>
      </c>
      <c r="G16" s="30">
        <f t="shared" si="1"/>
        <v>0.96799999999999997</v>
      </c>
      <c r="H16" s="30">
        <f t="shared" si="1"/>
        <v>0.96639999999999993</v>
      </c>
      <c r="I16" s="30">
        <f t="shared" si="1"/>
        <v>0.96479999999999999</v>
      </c>
      <c r="J16" s="30">
        <f t="shared" si="1"/>
        <v>0.96319999999999995</v>
      </c>
      <c r="K16" s="30">
        <f t="shared" si="1"/>
        <v>0.96160000000000001</v>
      </c>
      <c r="L16" s="28">
        <v>0.96</v>
      </c>
      <c r="M16" s="30">
        <f t="shared" si="7"/>
        <v>0.95839999999999992</v>
      </c>
      <c r="N16" s="30">
        <f t="shared" si="7"/>
        <v>0.95679999999999998</v>
      </c>
      <c r="O16" s="30">
        <f t="shared" si="7"/>
        <v>0.95519999999999994</v>
      </c>
      <c r="P16" s="30">
        <f t="shared" si="7"/>
        <v>0.9536</v>
      </c>
      <c r="Q16" s="28">
        <v>0.95199999999999996</v>
      </c>
      <c r="R16" s="30">
        <f t="shared" si="8"/>
        <v>0.95039999999999991</v>
      </c>
      <c r="S16" s="30">
        <f t="shared" si="2"/>
        <v>0.94879999999999998</v>
      </c>
      <c r="T16" s="30">
        <f t="shared" si="2"/>
        <v>0.94719999999999993</v>
      </c>
      <c r="U16" s="30">
        <f t="shared" si="2"/>
        <v>0.9456</v>
      </c>
      <c r="V16" s="28">
        <v>0.94399999999999995</v>
      </c>
      <c r="W16" s="30">
        <f t="shared" si="9"/>
        <v>0.94240000000000002</v>
      </c>
      <c r="X16" s="30">
        <f t="shared" si="3"/>
        <v>0.94079999999999997</v>
      </c>
      <c r="Y16" s="30">
        <f t="shared" si="3"/>
        <v>0.93920000000000003</v>
      </c>
      <c r="Z16" s="30">
        <f t="shared" si="3"/>
        <v>0.93759999999999999</v>
      </c>
      <c r="AA16" s="28">
        <v>0.93600000000000005</v>
      </c>
      <c r="AB16" s="30">
        <f t="shared" si="10"/>
        <v>0.93240000000000001</v>
      </c>
      <c r="AC16" s="30">
        <f t="shared" si="4"/>
        <v>0.92880000000000007</v>
      </c>
      <c r="AD16" s="30">
        <f t="shared" si="4"/>
        <v>0.92520000000000002</v>
      </c>
      <c r="AE16" s="30">
        <f t="shared" si="4"/>
        <v>0.92160000000000009</v>
      </c>
      <c r="AF16" s="28">
        <v>0.91800000000000004</v>
      </c>
    </row>
    <row r="17" spans="1:32">
      <c r="A17" s="29">
        <f t="shared" si="5"/>
        <v>450</v>
      </c>
      <c r="B17" s="28">
        <v>0.97199999999999998</v>
      </c>
      <c r="C17" s="30">
        <f t="shared" si="6"/>
        <v>0.97029999999999994</v>
      </c>
      <c r="D17" s="30">
        <f t="shared" si="6"/>
        <v>0.96860000000000002</v>
      </c>
      <c r="E17" s="30">
        <f t="shared" si="1"/>
        <v>0.96689999999999998</v>
      </c>
      <c r="F17" s="30">
        <f t="shared" si="1"/>
        <v>0.96519999999999995</v>
      </c>
      <c r="G17" s="30">
        <f t="shared" si="1"/>
        <v>0.96350000000000002</v>
      </c>
      <c r="H17" s="30">
        <f t="shared" si="1"/>
        <v>0.96179999999999999</v>
      </c>
      <c r="I17" s="30">
        <f t="shared" si="1"/>
        <v>0.96009999999999995</v>
      </c>
      <c r="J17" s="30">
        <f t="shared" si="1"/>
        <v>0.95839999999999992</v>
      </c>
      <c r="K17" s="30">
        <f t="shared" si="1"/>
        <v>0.95669999999999999</v>
      </c>
      <c r="L17" s="28">
        <v>0.95499999999999996</v>
      </c>
      <c r="M17" s="30">
        <f t="shared" si="7"/>
        <v>0.95339999999999991</v>
      </c>
      <c r="N17" s="30">
        <f t="shared" si="7"/>
        <v>0.95179999999999998</v>
      </c>
      <c r="O17" s="30">
        <f t="shared" si="7"/>
        <v>0.95019999999999993</v>
      </c>
      <c r="P17" s="30">
        <f t="shared" si="7"/>
        <v>0.9486</v>
      </c>
      <c r="Q17" s="28">
        <v>0.94699999999999995</v>
      </c>
      <c r="R17" s="30">
        <f t="shared" si="8"/>
        <v>0.94499999999999995</v>
      </c>
      <c r="S17" s="30">
        <f t="shared" si="2"/>
        <v>0.94299999999999995</v>
      </c>
      <c r="T17" s="30">
        <f t="shared" si="2"/>
        <v>0.94100000000000006</v>
      </c>
      <c r="U17" s="30">
        <f t="shared" si="2"/>
        <v>0.93900000000000006</v>
      </c>
      <c r="V17" s="28">
        <v>0.93700000000000006</v>
      </c>
      <c r="W17" s="30">
        <f t="shared" si="9"/>
        <v>0.93500000000000005</v>
      </c>
      <c r="X17" s="30">
        <f t="shared" si="3"/>
        <v>0.93300000000000005</v>
      </c>
      <c r="Y17" s="30">
        <f t="shared" si="3"/>
        <v>0.93100000000000005</v>
      </c>
      <c r="Z17" s="30">
        <f t="shared" si="3"/>
        <v>0.92900000000000005</v>
      </c>
      <c r="AA17" s="28">
        <v>0.92700000000000005</v>
      </c>
      <c r="AB17" s="30">
        <f t="shared" si="10"/>
        <v>0.92260000000000009</v>
      </c>
      <c r="AC17" s="30">
        <f t="shared" si="4"/>
        <v>0.91820000000000002</v>
      </c>
      <c r="AD17" s="30">
        <f t="shared" si="4"/>
        <v>0.91380000000000006</v>
      </c>
      <c r="AE17" s="30">
        <f t="shared" si="4"/>
        <v>0.90939999999999999</v>
      </c>
      <c r="AF17" s="28">
        <v>0.90500000000000003</v>
      </c>
    </row>
    <row r="18" spans="1:32">
      <c r="A18" s="29">
        <f t="shared" si="5"/>
        <v>500</v>
      </c>
      <c r="B18" s="28">
        <v>0.96899999999999997</v>
      </c>
      <c r="C18" s="30">
        <f t="shared" si="6"/>
        <v>0.96719999999999995</v>
      </c>
      <c r="D18" s="30">
        <f t="shared" si="6"/>
        <v>0.96539999999999992</v>
      </c>
      <c r="E18" s="30">
        <f t="shared" si="1"/>
        <v>0.96360000000000001</v>
      </c>
      <c r="F18" s="30">
        <f t="shared" si="1"/>
        <v>0.96179999999999999</v>
      </c>
      <c r="G18" s="30">
        <f t="shared" si="1"/>
        <v>0.96</v>
      </c>
      <c r="H18" s="30">
        <f t="shared" si="1"/>
        <v>0.95819999999999994</v>
      </c>
      <c r="I18" s="30">
        <f t="shared" si="1"/>
        <v>0.95639999999999992</v>
      </c>
      <c r="J18" s="30">
        <f t="shared" si="1"/>
        <v>0.9546</v>
      </c>
      <c r="K18" s="30">
        <f t="shared" si="1"/>
        <v>0.95279999999999998</v>
      </c>
      <c r="L18" s="28">
        <v>0.95099999999999996</v>
      </c>
      <c r="M18" s="30">
        <f t="shared" si="7"/>
        <v>0.94879999999999998</v>
      </c>
      <c r="N18" s="30">
        <f t="shared" si="7"/>
        <v>0.9466</v>
      </c>
      <c r="O18" s="30">
        <f t="shared" si="7"/>
        <v>0.94439999999999991</v>
      </c>
      <c r="P18" s="30">
        <f t="shared" si="7"/>
        <v>0.94219999999999993</v>
      </c>
      <c r="Q18" s="28">
        <v>0.94</v>
      </c>
      <c r="R18" s="30">
        <f t="shared" si="8"/>
        <v>0.93819999999999992</v>
      </c>
      <c r="S18" s="30">
        <f t="shared" si="2"/>
        <v>0.93640000000000001</v>
      </c>
      <c r="T18" s="30">
        <f t="shared" si="2"/>
        <v>0.93459999999999999</v>
      </c>
      <c r="U18" s="30">
        <f t="shared" si="2"/>
        <v>0.93280000000000007</v>
      </c>
      <c r="V18" s="28">
        <v>0.93100000000000005</v>
      </c>
      <c r="W18" s="30">
        <f t="shared" si="9"/>
        <v>0.92860000000000009</v>
      </c>
      <c r="X18" s="30">
        <f t="shared" si="3"/>
        <v>0.92620000000000002</v>
      </c>
      <c r="Y18" s="30">
        <f t="shared" si="3"/>
        <v>0.92380000000000007</v>
      </c>
      <c r="Z18" s="30">
        <f t="shared" si="3"/>
        <v>0.9214</v>
      </c>
      <c r="AA18" s="28">
        <v>0.91900000000000004</v>
      </c>
      <c r="AB18" s="30">
        <f t="shared" si="10"/>
        <v>0.91439999999999999</v>
      </c>
      <c r="AC18" s="30">
        <f t="shared" si="4"/>
        <v>0.90980000000000005</v>
      </c>
      <c r="AD18" s="30">
        <f t="shared" si="4"/>
        <v>0.9052</v>
      </c>
      <c r="AE18" s="30">
        <f t="shared" si="4"/>
        <v>0.90060000000000007</v>
      </c>
      <c r="AF18" s="28">
        <v>0.89600000000000002</v>
      </c>
    </row>
    <row r="19" spans="1:32">
      <c r="A19" s="29">
        <f t="shared" si="5"/>
        <v>550</v>
      </c>
      <c r="B19" s="28">
        <v>0.96699999999999997</v>
      </c>
      <c r="C19" s="30">
        <f t="shared" si="6"/>
        <v>0.96489999999999998</v>
      </c>
      <c r="D19" s="30">
        <f t="shared" si="6"/>
        <v>0.96279999999999999</v>
      </c>
      <c r="E19" s="30">
        <f t="shared" si="1"/>
        <v>0.9607</v>
      </c>
      <c r="F19" s="30">
        <f t="shared" si="1"/>
        <v>0.95860000000000001</v>
      </c>
      <c r="G19" s="30">
        <f t="shared" si="1"/>
        <v>0.95649999999999991</v>
      </c>
      <c r="H19" s="30">
        <f t="shared" si="1"/>
        <v>0.95439999999999992</v>
      </c>
      <c r="I19" s="30">
        <f t="shared" si="1"/>
        <v>0.95229999999999992</v>
      </c>
      <c r="J19" s="30">
        <f t="shared" si="1"/>
        <v>0.95019999999999993</v>
      </c>
      <c r="K19" s="30">
        <f t="shared" si="1"/>
        <v>0.94809999999999994</v>
      </c>
      <c r="L19" s="28">
        <v>0.94599999999999995</v>
      </c>
      <c r="M19" s="30">
        <f t="shared" si="7"/>
        <v>0.94419999999999993</v>
      </c>
      <c r="N19" s="30">
        <f t="shared" si="7"/>
        <v>0.94240000000000002</v>
      </c>
      <c r="O19" s="30">
        <f t="shared" si="7"/>
        <v>0.94059999999999999</v>
      </c>
      <c r="P19" s="30">
        <f t="shared" si="7"/>
        <v>0.93880000000000008</v>
      </c>
      <c r="Q19" s="28">
        <v>0.93700000000000006</v>
      </c>
      <c r="R19" s="30">
        <f t="shared" si="8"/>
        <v>0.93440000000000001</v>
      </c>
      <c r="S19" s="30">
        <f t="shared" si="2"/>
        <v>0.93180000000000007</v>
      </c>
      <c r="T19" s="30">
        <f t="shared" si="2"/>
        <v>0.92920000000000003</v>
      </c>
      <c r="U19" s="30">
        <f t="shared" si="2"/>
        <v>0.92660000000000009</v>
      </c>
      <c r="V19" s="28">
        <v>0.92400000000000004</v>
      </c>
      <c r="W19" s="30">
        <f t="shared" si="9"/>
        <v>0.92080000000000006</v>
      </c>
      <c r="X19" s="30">
        <f t="shared" si="3"/>
        <v>0.91760000000000008</v>
      </c>
      <c r="Y19" s="30">
        <f t="shared" si="3"/>
        <v>0.91439999999999999</v>
      </c>
      <c r="Z19" s="30">
        <f t="shared" si="3"/>
        <v>0.91120000000000001</v>
      </c>
      <c r="AA19" s="28">
        <v>0.90800000000000003</v>
      </c>
      <c r="AB19" s="30">
        <f t="shared" si="10"/>
        <v>0.90400000000000003</v>
      </c>
      <c r="AC19" s="30">
        <f t="shared" si="4"/>
        <v>0.9</v>
      </c>
      <c r="AD19" s="30">
        <f t="shared" si="4"/>
        <v>0.89600000000000002</v>
      </c>
      <c r="AE19" s="30">
        <f t="shared" si="4"/>
        <v>0.89200000000000002</v>
      </c>
      <c r="AF19" s="28">
        <v>0.88800000000000001</v>
      </c>
    </row>
    <row r="20" spans="1:32">
      <c r="A20" s="29">
        <f t="shared" si="5"/>
        <v>600</v>
      </c>
      <c r="B20" s="28">
        <v>0.96299999999999997</v>
      </c>
      <c r="C20" s="30">
        <f t="shared" si="6"/>
        <v>0.96079999999999999</v>
      </c>
      <c r="D20" s="30">
        <f t="shared" si="6"/>
        <v>0.95860000000000001</v>
      </c>
      <c r="E20" s="30">
        <f t="shared" si="1"/>
        <v>0.95639999999999992</v>
      </c>
      <c r="F20" s="30">
        <f t="shared" si="1"/>
        <v>0.95419999999999994</v>
      </c>
      <c r="G20" s="30">
        <f t="shared" si="1"/>
        <v>0.95199999999999996</v>
      </c>
      <c r="H20" s="30">
        <f t="shared" si="1"/>
        <v>0.94979999999999998</v>
      </c>
      <c r="I20" s="30">
        <f t="shared" si="1"/>
        <v>0.9476</v>
      </c>
      <c r="J20" s="30">
        <f t="shared" si="1"/>
        <v>0.94539999999999991</v>
      </c>
      <c r="K20" s="30">
        <f t="shared" si="1"/>
        <v>0.94319999999999993</v>
      </c>
      <c r="L20" s="28">
        <v>0.94099999999999995</v>
      </c>
      <c r="M20" s="30">
        <f t="shared" si="7"/>
        <v>0.93899999999999995</v>
      </c>
      <c r="N20" s="30">
        <f t="shared" si="7"/>
        <v>0.93699999999999994</v>
      </c>
      <c r="O20" s="30">
        <f t="shared" si="7"/>
        <v>0.93500000000000005</v>
      </c>
      <c r="P20" s="30">
        <f t="shared" si="7"/>
        <v>0.93300000000000005</v>
      </c>
      <c r="Q20" s="28">
        <v>0.93100000000000005</v>
      </c>
      <c r="R20" s="30">
        <f t="shared" si="8"/>
        <v>0.92780000000000007</v>
      </c>
      <c r="S20" s="30">
        <f t="shared" si="2"/>
        <v>0.92460000000000009</v>
      </c>
      <c r="T20" s="30">
        <f t="shared" si="2"/>
        <v>0.9214</v>
      </c>
      <c r="U20" s="30">
        <f t="shared" si="2"/>
        <v>0.91820000000000002</v>
      </c>
      <c r="V20" s="28">
        <v>0.91500000000000004</v>
      </c>
      <c r="W20" s="30">
        <f t="shared" si="9"/>
        <v>0.91200000000000003</v>
      </c>
      <c r="X20" s="30">
        <f t="shared" si="3"/>
        <v>0.90900000000000003</v>
      </c>
      <c r="Y20" s="30">
        <f t="shared" si="3"/>
        <v>0.90600000000000003</v>
      </c>
      <c r="Z20" s="30">
        <f t="shared" si="3"/>
        <v>0.90300000000000002</v>
      </c>
      <c r="AA20" s="28">
        <v>0.9</v>
      </c>
      <c r="AB20" s="30">
        <f t="shared" si="10"/>
        <v>0.89600000000000002</v>
      </c>
      <c r="AC20" s="30">
        <f t="shared" si="4"/>
        <v>0.89200000000000002</v>
      </c>
      <c r="AD20" s="30">
        <f t="shared" si="4"/>
        <v>0.88800000000000001</v>
      </c>
      <c r="AE20" s="30">
        <f t="shared" si="4"/>
        <v>0.88400000000000001</v>
      </c>
      <c r="AF20" s="28">
        <v>0.88</v>
      </c>
    </row>
    <row r="21" spans="1:32">
      <c r="A21" s="29">
        <f t="shared" si="5"/>
        <v>650</v>
      </c>
      <c r="B21" s="28">
        <v>0.96</v>
      </c>
      <c r="C21" s="30">
        <f t="shared" si="6"/>
        <v>0.9577</v>
      </c>
      <c r="D21" s="30">
        <f t="shared" si="6"/>
        <v>0.95540000000000003</v>
      </c>
      <c r="E21" s="30">
        <f t="shared" si="1"/>
        <v>0.95309999999999995</v>
      </c>
      <c r="F21" s="30">
        <f t="shared" si="1"/>
        <v>0.95079999999999998</v>
      </c>
      <c r="G21" s="30">
        <f t="shared" si="1"/>
        <v>0.94850000000000001</v>
      </c>
      <c r="H21" s="30">
        <f t="shared" si="1"/>
        <v>0.94620000000000004</v>
      </c>
      <c r="I21" s="30">
        <f t="shared" si="1"/>
        <v>0.94390000000000007</v>
      </c>
      <c r="J21" s="30">
        <f t="shared" si="1"/>
        <v>0.94159999999999999</v>
      </c>
      <c r="K21" s="30">
        <f t="shared" si="1"/>
        <v>0.93930000000000002</v>
      </c>
      <c r="L21" s="28">
        <v>0.93700000000000006</v>
      </c>
      <c r="M21" s="30">
        <f t="shared" si="7"/>
        <v>0.93480000000000008</v>
      </c>
      <c r="N21" s="30">
        <f t="shared" si="7"/>
        <v>0.9326000000000001</v>
      </c>
      <c r="O21" s="30">
        <f t="shared" si="7"/>
        <v>0.9304</v>
      </c>
      <c r="P21" s="30">
        <f t="shared" si="7"/>
        <v>0.92820000000000003</v>
      </c>
      <c r="Q21" s="28">
        <v>0.92600000000000005</v>
      </c>
      <c r="R21" s="30">
        <f t="shared" si="8"/>
        <v>0.92200000000000004</v>
      </c>
      <c r="S21" s="30">
        <f t="shared" si="2"/>
        <v>0.91800000000000004</v>
      </c>
      <c r="T21" s="30">
        <f t="shared" si="2"/>
        <v>0.91400000000000003</v>
      </c>
      <c r="U21" s="30">
        <f t="shared" si="2"/>
        <v>0.91</v>
      </c>
      <c r="V21" s="28">
        <v>0.90600000000000003</v>
      </c>
      <c r="W21" s="30">
        <f t="shared" si="9"/>
        <v>0.9032</v>
      </c>
      <c r="X21" s="30">
        <f t="shared" si="3"/>
        <v>0.90039999999999998</v>
      </c>
      <c r="Y21" s="30">
        <f t="shared" si="3"/>
        <v>0.89760000000000006</v>
      </c>
      <c r="Z21" s="30">
        <f t="shared" si="3"/>
        <v>0.89480000000000004</v>
      </c>
      <c r="AA21" s="28">
        <v>0.89200000000000002</v>
      </c>
      <c r="AB21" s="30">
        <f t="shared" si="10"/>
        <v>0.88700000000000001</v>
      </c>
      <c r="AC21" s="30">
        <f t="shared" si="4"/>
        <v>0.88200000000000001</v>
      </c>
      <c r="AD21" s="30">
        <f t="shared" si="4"/>
        <v>0.877</v>
      </c>
      <c r="AE21" s="30">
        <f t="shared" si="4"/>
        <v>0.872</v>
      </c>
      <c r="AF21" s="28">
        <v>0.86699999999999999</v>
      </c>
    </row>
    <row r="22" spans="1:32">
      <c r="A22" s="29">
        <f t="shared" si="5"/>
        <v>700</v>
      </c>
      <c r="B22" s="28">
        <v>0.95499999999999996</v>
      </c>
      <c r="C22" s="30">
        <f t="shared" si="6"/>
        <v>0.95269999999999999</v>
      </c>
      <c r="D22" s="30">
        <f t="shared" si="6"/>
        <v>0.95040000000000002</v>
      </c>
      <c r="E22" s="30">
        <f t="shared" si="1"/>
        <v>0.94809999999999994</v>
      </c>
      <c r="F22" s="30">
        <f t="shared" si="1"/>
        <v>0.94579999999999997</v>
      </c>
      <c r="G22" s="30">
        <f t="shared" si="1"/>
        <v>0.94350000000000001</v>
      </c>
      <c r="H22" s="30">
        <f t="shared" si="1"/>
        <v>0.94120000000000004</v>
      </c>
      <c r="I22" s="30">
        <f t="shared" si="1"/>
        <v>0.93890000000000007</v>
      </c>
      <c r="J22" s="30">
        <f t="shared" si="1"/>
        <v>0.93659999999999999</v>
      </c>
      <c r="K22" s="30">
        <f t="shared" si="1"/>
        <v>0.93430000000000002</v>
      </c>
      <c r="L22" s="28">
        <v>0.93200000000000005</v>
      </c>
      <c r="M22" s="30">
        <f t="shared" si="7"/>
        <v>0.92960000000000009</v>
      </c>
      <c r="N22" s="30">
        <f t="shared" si="7"/>
        <v>0.92720000000000002</v>
      </c>
      <c r="O22" s="30">
        <f t="shared" si="7"/>
        <v>0.92480000000000007</v>
      </c>
      <c r="P22" s="30">
        <f t="shared" si="7"/>
        <v>0.9224</v>
      </c>
      <c r="Q22" s="28">
        <v>0.92</v>
      </c>
      <c r="R22" s="30">
        <f t="shared" si="8"/>
        <v>0.91580000000000006</v>
      </c>
      <c r="S22" s="30">
        <f t="shared" si="2"/>
        <v>0.91160000000000008</v>
      </c>
      <c r="T22" s="30">
        <f t="shared" si="2"/>
        <v>0.90739999999999998</v>
      </c>
      <c r="U22" s="30">
        <f t="shared" si="2"/>
        <v>0.9032</v>
      </c>
      <c r="V22" s="28">
        <v>0.89900000000000002</v>
      </c>
      <c r="W22" s="30">
        <f t="shared" si="9"/>
        <v>0.89600000000000002</v>
      </c>
      <c r="X22" s="30">
        <f t="shared" si="3"/>
        <v>0.89300000000000002</v>
      </c>
      <c r="Y22" s="30">
        <f t="shared" si="3"/>
        <v>0.89</v>
      </c>
      <c r="Z22" s="30">
        <f t="shared" si="3"/>
        <v>0.88700000000000001</v>
      </c>
      <c r="AA22" s="28">
        <v>0.88400000000000001</v>
      </c>
      <c r="AB22" s="30">
        <f t="shared" si="10"/>
        <v>0.87860000000000005</v>
      </c>
      <c r="AC22" s="30">
        <f t="shared" si="4"/>
        <v>0.87319999999999998</v>
      </c>
      <c r="AD22" s="30">
        <f t="shared" si="4"/>
        <v>0.86780000000000002</v>
      </c>
      <c r="AE22" s="30">
        <f t="shared" si="4"/>
        <v>0.86239999999999994</v>
      </c>
      <c r="AF22" s="28">
        <v>0.85699999999999998</v>
      </c>
    </row>
    <row r="23" spans="1:32">
      <c r="A23" s="29">
        <f t="shared" si="5"/>
        <v>750</v>
      </c>
      <c r="B23" s="28">
        <v>0.95199999999999996</v>
      </c>
      <c r="C23" s="30">
        <f t="shared" si="6"/>
        <v>0.9496</v>
      </c>
      <c r="D23" s="30">
        <f t="shared" si="6"/>
        <v>0.94719999999999993</v>
      </c>
      <c r="E23" s="30">
        <f t="shared" si="1"/>
        <v>0.94479999999999997</v>
      </c>
      <c r="F23" s="30">
        <f t="shared" si="1"/>
        <v>0.94240000000000002</v>
      </c>
      <c r="G23" s="30">
        <f t="shared" si="1"/>
        <v>0.94</v>
      </c>
      <c r="H23" s="30">
        <f t="shared" si="1"/>
        <v>0.93759999999999999</v>
      </c>
      <c r="I23" s="30">
        <f t="shared" si="1"/>
        <v>0.93520000000000003</v>
      </c>
      <c r="J23" s="30">
        <f t="shared" si="1"/>
        <v>0.93280000000000007</v>
      </c>
      <c r="K23" s="30">
        <f t="shared" si="1"/>
        <v>0.9304</v>
      </c>
      <c r="L23" s="28">
        <v>0.92800000000000005</v>
      </c>
      <c r="M23" s="30">
        <f t="shared" si="7"/>
        <v>0.92460000000000009</v>
      </c>
      <c r="N23" s="30">
        <f t="shared" si="7"/>
        <v>0.92120000000000002</v>
      </c>
      <c r="O23" s="30">
        <f t="shared" si="7"/>
        <v>0.91780000000000006</v>
      </c>
      <c r="P23" s="30">
        <f t="shared" si="7"/>
        <v>0.91439999999999999</v>
      </c>
      <c r="Q23" s="28">
        <v>0.91100000000000003</v>
      </c>
      <c r="R23" s="30">
        <f t="shared" si="8"/>
        <v>0.90720000000000001</v>
      </c>
      <c r="S23" s="30">
        <f t="shared" si="2"/>
        <v>0.90339999999999998</v>
      </c>
      <c r="T23" s="30">
        <f t="shared" si="2"/>
        <v>0.89960000000000007</v>
      </c>
      <c r="U23" s="30">
        <f t="shared" si="2"/>
        <v>0.89580000000000004</v>
      </c>
      <c r="V23" s="28">
        <v>0.89200000000000002</v>
      </c>
      <c r="W23" s="30">
        <f t="shared" si="9"/>
        <v>0.88880000000000003</v>
      </c>
      <c r="X23" s="30">
        <f t="shared" si="3"/>
        <v>0.88560000000000005</v>
      </c>
      <c r="Y23" s="30">
        <f t="shared" si="3"/>
        <v>0.88239999999999996</v>
      </c>
      <c r="Z23" s="30">
        <f t="shared" si="3"/>
        <v>0.87919999999999998</v>
      </c>
      <c r="AA23" s="28">
        <v>0.876</v>
      </c>
      <c r="AB23" s="30">
        <f t="shared" si="10"/>
        <v>0.87039999999999995</v>
      </c>
      <c r="AC23" s="30">
        <f t="shared" si="4"/>
        <v>0.86480000000000001</v>
      </c>
      <c r="AD23" s="30">
        <f t="shared" si="4"/>
        <v>0.85919999999999996</v>
      </c>
      <c r="AE23" s="30">
        <f t="shared" si="4"/>
        <v>0.85360000000000003</v>
      </c>
      <c r="AF23" s="28">
        <v>0.84799999999999998</v>
      </c>
    </row>
    <row r="24" spans="1:32">
      <c r="A24" s="29">
        <f t="shared" si="5"/>
        <v>800</v>
      </c>
      <c r="B24" s="28">
        <v>0.95</v>
      </c>
      <c r="C24" s="30">
        <f t="shared" si="6"/>
        <v>0.9476</v>
      </c>
      <c r="D24" s="30">
        <f t="shared" si="6"/>
        <v>0.94519999999999993</v>
      </c>
      <c r="E24" s="30">
        <f t="shared" si="1"/>
        <v>0.94279999999999997</v>
      </c>
      <c r="F24" s="30">
        <f t="shared" si="1"/>
        <v>0.94040000000000001</v>
      </c>
      <c r="G24" s="30">
        <f t="shared" si="1"/>
        <v>0.93799999999999994</v>
      </c>
      <c r="H24" s="30">
        <f t="shared" si="1"/>
        <v>0.93559999999999999</v>
      </c>
      <c r="I24" s="30">
        <f t="shared" si="1"/>
        <v>0.93320000000000003</v>
      </c>
      <c r="J24" s="30">
        <f t="shared" si="1"/>
        <v>0.93080000000000007</v>
      </c>
      <c r="K24" s="30">
        <f t="shared" si="1"/>
        <v>0.9284</v>
      </c>
      <c r="L24" s="28">
        <v>0.92600000000000005</v>
      </c>
      <c r="M24" s="30">
        <f t="shared" si="7"/>
        <v>0.92180000000000006</v>
      </c>
      <c r="N24" s="30">
        <f t="shared" si="7"/>
        <v>0.91760000000000008</v>
      </c>
      <c r="O24" s="30">
        <f t="shared" si="7"/>
        <v>0.91339999999999999</v>
      </c>
      <c r="P24" s="30">
        <f t="shared" si="7"/>
        <v>0.90920000000000001</v>
      </c>
      <c r="Q24" s="28">
        <v>0.90500000000000003</v>
      </c>
      <c r="R24" s="30">
        <f t="shared" si="8"/>
        <v>0.90139999999999998</v>
      </c>
      <c r="S24" s="30">
        <f t="shared" si="2"/>
        <v>0.89780000000000004</v>
      </c>
      <c r="T24" s="30">
        <f t="shared" si="2"/>
        <v>0.89419999999999999</v>
      </c>
      <c r="U24" s="30">
        <f t="shared" si="2"/>
        <v>0.89060000000000006</v>
      </c>
      <c r="V24" s="28">
        <v>0.88700000000000001</v>
      </c>
      <c r="W24" s="30">
        <f t="shared" si="9"/>
        <v>0.88360000000000005</v>
      </c>
      <c r="X24" s="30">
        <f t="shared" si="3"/>
        <v>0.88019999999999998</v>
      </c>
      <c r="Y24" s="30">
        <f t="shared" si="3"/>
        <v>0.87680000000000002</v>
      </c>
      <c r="Z24" s="30">
        <f t="shared" si="3"/>
        <v>0.87339999999999995</v>
      </c>
      <c r="AA24" s="28">
        <v>0.87</v>
      </c>
      <c r="AB24" s="30">
        <f t="shared" si="10"/>
        <v>0.86399999999999999</v>
      </c>
      <c r="AC24" s="30">
        <f t="shared" si="4"/>
        <v>0.85799999999999998</v>
      </c>
      <c r="AD24" s="30">
        <f t="shared" si="4"/>
        <v>0.85199999999999998</v>
      </c>
      <c r="AE24" s="30">
        <f t="shared" si="4"/>
        <v>0.84599999999999997</v>
      </c>
      <c r="AF24" s="28">
        <v>0.84</v>
      </c>
    </row>
    <row r="25" spans="1:32">
      <c r="A25" s="29">
        <f t="shared" si="5"/>
        <v>850</v>
      </c>
      <c r="B25" s="28">
        <v>0.94799999999999995</v>
      </c>
      <c r="C25" s="30">
        <f t="shared" si="6"/>
        <v>0.94519999999999993</v>
      </c>
      <c r="D25" s="30">
        <f t="shared" si="6"/>
        <v>0.94240000000000002</v>
      </c>
      <c r="E25" s="30">
        <f t="shared" si="6"/>
        <v>0.93959999999999999</v>
      </c>
      <c r="F25" s="30">
        <f t="shared" si="6"/>
        <v>0.93679999999999997</v>
      </c>
      <c r="G25" s="30">
        <f t="shared" si="6"/>
        <v>0.93399999999999994</v>
      </c>
      <c r="H25" s="30">
        <f t="shared" si="6"/>
        <v>0.93120000000000003</v>
      </c>
      <c r="I25" s="30">
        <f t="shared" si="6"/>
        <v>0.9284</v>
      </c>
      <c r="J25" s="30">
        <f t="shared" si="6"/>
        <v>0.92559999999999998</v>
      </c>
      <c r="K25" s="30">
        <f t="shared" si="6"/>
        <v>0.92280000000000006</v>
      </c>
      <c r="L25" s="28">
        <v>0.92</v>
      </c>
      <c r="M25" s="30">
        <f t="shared" si="7"/>
        <v>0.91620000000000001</v>
      </c>
      <c r="N25" s="30">
        <f t="shared" si="7"/>
        <v>0.91239999999999999</v>
      </c>
      <c r="O25" s="30">
        <f t="shared" si="7"/>
        <v>0.90860000000000007</v>
      </c>
      <c r="P25" s="30">
        <f t="shared" si="7"/>
        <v>0.90480000000000005</v>
      </c>
      <c r="Q25" s="28">
        <v>0.90100000000000002</v>
      </c>
      <c r="R25" s="30">
        <f t="shared" si="8"/>
        <v>0.8972</v>
      </c>
      <c r="S25" s="30">
        <f t="shared" si="8"/>
        <v>0.89339999999999997</v>
      </c>
      <c r="T25" s="30">
        <f t="shared" si="8"/>
        <v>0.88960000000000006</v>
      </c>
      <c r="U25" s="30">
        <f t="shared" si="8"/>
        <v>0.88580000000000003</v>
      </c>
      <c r="V25" s="28">
        <v>0.88200000000000001</v>
      </c>
      <c r="W25" s="30">
        <f t="shared" si="9"/>
        <v>0.87780000000000002</v>
      </c>
      <c r="X25" s="30">
        <f t="shared" si="9"/>
        <v>0.87360000000000004</v>
      </c>
      <c r="Y25" s="30">
        <f t="shared" si="9"/>
        <v>0.86939999999999995</v>
      </c>
      <c r="Z25" s="30">
        <f t="shared" si="9"/>
        <v>0.86519999999999997</v>
      </c>
      <c r="AA25" s="28">
        <v>0.86099999999999999</v>
      </c>
      <c r="AB25" s="30">
        <f t="shared" si="10"/>
        <v>0.85499999999999998</v>
      </c>
      <c r="AC25" s="30">
        <f t="shared" si="10"/>
        <v>0.84899999999999998</v>
      </c>
      <c r="AD25" s="30">
        <f t="shared" si="10"/>
        <v>0.84299999999999997</v>
      </c>
      <c r="AE25" s="30">
        <f t="shared" si="10"/>
        <v>0.83699999999999997</v>
      </c>
      <c r="AF25" s="28">
        <v>0.83099999999999996</v>
      </c>
    </row>
    <row r="26" spans="1:32">
      <c r="A26" s="29">
        <f t="shared" si="5"/>
        <v>900</v>
      </c>
      <c r="B26" s="28">
        <v>0.94399999999999995</v>
      </c>
      <c r="C26" s="30">
        <f t="shared" si="6"/>
        <v>0.94099999999999995</v>
      </c>
      <c r="D26" s="30">
        <f t="shared" si="6"/>
        <v>0.93799999999999994</v>
      </c>
      <c r="E26" s="30">
        <f t="shared" si="6"/>
        <v>0.93499999999999994</v>
      </c>
      <c r="F26" s="30">
        <f t="shared" si="6"/>
        <v>0.93199999999999994</v>
      </c>
      <c r="G26" s="30">
        <f t="shared" si="6"/>
        <v>0.92900000000000005</v>
      </c>
      <c r="H26" s="30">
        <f t="shared" si="6"/>
        <v>0.92600000000000005</v>
      </c>
      <c r="I26" s="30">
        <f t="shared" si="6"/>
        <v>0.92300000000000004</v>
      </c>
      <c r="J26" s="30">
        <f t="shared" si="6"/>
        <v>0.92</v>
      </c>
      <c r="K26" s="30">
        <f t="shared" si="6"/>
        <v>0.91700000000000004</v>
      </c>
      <c r="L26" s="28">
        <v>0.91400000000000003</v>
      </c>
      <c r="M26" s="30">
        <f t="shared" si="7"/>
        <v>0.91060000000000008</v>
      </c>
      <c r="N26" s="30">
        <f t="shared" si="7"/>
        <v>0.90720000000000001</v>
      </c>
      <c r="O26" s="30">
        <f t="shared" si="7"/>
        <v>0.90380000000000005</v>
      </c>
      <c r="P26" s="30">
        <f t="shared" si="7"/>
        <v>0.90039999999999998</v>
      </c>
      <c r="Q26" s="28">
        <v>0.89700000000000002</v>
      </c>
      <c r="R26" s="30">
        <f t="shared" si="8"/>
        <v>0.89280000000000004</v>
      </c>
      <c r="S26" s="30">
        <f t="shared" si="8"/>
        <v>0.88860000000000006</v>
      </c>
      <c r="T26" s="30">
        <f t="shared" si="8"/>
        <v>0.88439999999999996</v>
      </c>
      <c r="U26" s="30">
        <f t="shared" si="8"/>
        <v>0.88019999999999998</v>
      </c>
      <c r="V26" s="28">
        <v>0.876</v>
      </c>
      <c r="W26" s="30">
        <f t="shared" si="9"/>
        <v>0.87119999999999997</v>
      </c>
      <c r="X26" s="30">
        <f t="shared" si="9"/>
        <v>0.86639999999999995</v>
      </c>
      <c r="Y26" s="30">
        <f t="shared" si="9"/>
        <v>0.86160000000000003</v>
      </c>
      <c r="Z26" s="30">
        <f t="shared" si="9"/>
        <v>0.85680000000000001</v>
      </c>
      <c r="AA26" s="28">
        <v>0.85199999999999998</v>
      </c>
      <c r="AB26" s="30">
        <f t="shared" si="10"/>
        <v>0.84599999999999997</v>
      </c>
      <c r="AC26" s="30">
        <f t="shared" si="10"/>
        <v>0.84</v>
      </c>
      <c r="AD26" s="30">
        <f t="shared" si="10"/>
        <v>0.83399999999999996</v>
      </c>
      <c r="AE26" s="30">
        <f t="shared" si="10"/>
        <v>0.82799999999999996</v>
      </c>
      <c r="AF26" s="28">
        <v>0.82199999999999995</v>
      </c>
    </row>
    <row r="27" spans="1:32">
      <c r="A27" s="29">
        <f t="shared" si="5"/>
        <v>950</v>
      </c>
      <c r="B27" s="28">
        <v>0.94099999999999995</v>
      </c>
      <c r="C27" s="30">
        <f t="shared" si="6"/>
        <v>0.93769999999999998</v>
      </c>
      <c r="D27" s="30">
        <f t="shared" si="6"/>
        <v>0.93440000000000001</v>
      </c>
      <c r="E27" s="30">
        <f t="shared" si="6"/>
        <v>0.93109999999999993</v>
      </c>
      <c r="F27" s="30">
        <f t="shared" si="6"/>
        <v>0.92779999999999996</v>
      </c>
      <c r="G27" s="30">
        <f t="shared" si="6"/>
        <v>0.92449999999999999</v>
      </c>
      <c r="H27" s="30">
        <f t="shared" si="6"/>
        <v>0.92120000000000002</v>
      </c>
      <c r="I27" s="30">
        <f t="shared" si="6"/>
        <v>0.91790000000000005</v>
      </c>
      <c r="J27" s="30">
        <f t="shared" si="6"/>
        <v>0.91459999999999997</v>
      </c>
      <c r="K27" s="30">
        <f t="shared" si="6"/>
        <v>0.9113</v>
      </c>
      <c r="L27" s="28">
        <v>0.90800000000000003</v>
      </c>
      <c r="M27" s="30">
        <f t="shared" si="7"/>
        <v>0.90500000000000003</v>
      </c>
      <c r="N27" s="30">
        <f t="shared" si="7"/>
        <v>0.90200000000000002</v>
      </c>
      <c r="O27" s="30">
        <f t="shared" si="7"/>
        <v>0.89900000000000002</v>
      </c>
      <c r="P27" s="30">
        <f t="shared" si="7"/>
        <v>0.89600000000000002</v>
      </c>
      <c r="Q27" s="28">
        <v>0.89300000000000002</v>
      </c>
      <c r="R27" s="30">
        <f t="shared" si="8"/>
        <v>0.88800000000000001</v>
      </c>
      <c r="S27" s="30">
        <f t="shared" si="8"/>
        <v>0.88300000000000001</v>
      </c>
      <c r="T27" s="30">
        <f t="shared" si="8"/>
        <v>0.878</v>
      </c>
      <c r="U27" s="30">
        <f t="shared" si="8"/>
        <v>0.873</v>
      </c>
      <c r="V27" s="28">
        <v>0.86799999999999999</v>
      </c>
      <c r="W27" s="30">
        <f t="shared" si="9"/>
        <v>0.86280000000000001</v>
      </c>
      <c r="X27" s="30">
        <f t="shared" si="9"/>
        <v>0.85760000000000003</v>
      </c>
      <c r="Y27" s="30">
        <f t="shared" si="9"/>
        <v>0.85239999999999994</v>
      </c>
      <c r="Z27" s="30">
        <f t="shared" si="9"/>
        <v>0.84719999999999995</v>
      </c>
      <c r="AA27" s="28">
        <v>0.84199999999999997</v>
      </c>
      <c r="AB27" s="30">
        <f t="shared" si="10"/>
        <v>0.83560000000000001</v>
      </c>
      <c r="AC27" s="30">
        <f t="shared" si="10"/>
        <v>0.82920000000000005</v>
      </c>
      <c r="AD27" s="30">
        <f t="shared" si="10"/>
        <v>0.82279999999999998</v>
      </c>
      <c r="AE27" s="30">
        <f t="shared" si="10"/>
        <v>0.81640000000000001</v>
      </c>
      <c r="AF27" s="28">
        <v>0.81</v>
      </c>
    </row>
    <row r="28" spans="1:32">
      <c r="A28" s="29">
        <f t="shared" si="5"/>
        <v>1000</v>
      </c>
      <c r="B28" s="28">
        <v>0.93899999999999995</v>
      </c>
      <c r="C28" s="30">
        <f t="shared" si="6"/>
        <v>0.9355</v>
      </c>
      <c r="D28" s="30">
        <f t="shared" si="6"/>
        <v>0.93199999999999994</v>
      </c>
      <c r="E28" s="30">
        <f t="shared" si="6"/>
        <v>0.92849999999999999</v>
      </c>
      <c r="F28" s="30">
        <f t="shared" si="6"/>
        <v>0.92499999999999993</v>
      </c>
      <c r="G28" s="30">
        <f t="shared" si="6"/>
        <v>0.92149999999999999</v>
      </c>
      <c r="H28" s="30">
        <f t="shared" si="6"/>
        <v>0.91800000000000004</v>
      </c>
      <c r="I28" s="30">
        <f t="shared" si="6"/>
        <v>0.91449999999999998</v>
      </c>
      <c r="J28" s="30">
        <f t="shared" si="6"/>
        <v>0.91100000000000003</v>
      </c>
      <c r="K28" s="30">
        <f t="shared" si="6"/>
        <v>0.90749999999999997</v>
      </c>
      <c r="L28" s="28">
        <v>0.90400000000000003</v>
      </c>
      <c r="M28" s="30">
        <f t="shared" si="7"/>
        <v>0.90100000000000002</v>
      </c>
      <c r="N28" s="30">
        <f t="shared" si="7"/>
        <v>0.89800000000000002</v>
      </c>
      <c r="O28" s="30">
        <f t="shared" si="7"/>
        <v>0.89500000000000002</v>
      </c>
      <c r="P28" s="30">
        <f t="shared" si="7"/>
        <v>0.89200000000000002</v>
      </c>
      <c r="Q28" s="28">
        <v>0.88900000000000001</v>
      </c>
      <c r="R28" s="30">
        <f t="shared" si="8"/>
        <v>0.88319999999999999</v>
      </c>
      <c r="S28" s="30">
        <f t="shared" si="8"/>
        <v>0.87739999999999996</v>
      </c>
      <c r="T28" s="30">
        <f t="shared" si="8"/>
        <v>0.87160000000000004</v>
      </c>
      <c r="U28" s="30">
        <f t="shared" si="8"/>
        <v>0.86580000000000001</v>
      </c>
      <c r="V28" s="28">
        <v>0.86</v>
      </c>
      <c r="W28" s="30">
        <f t="shared" si="9"/>
        <v>0.85519999999999996</v>
      </c>
      <c r="X28" s="30">
        <f t="shared" si="9"/>
        <v>0.85039999999999993</v>
      </c>
      <c r="Y28" s="30">
        <f t="shared" si="9"/>
        <v>0.84560000000000002</v>
      </c>
      <c r="Z28" s="30">
        <f t="shared" si="9"/>
        <v>0.84079999999999999</v>
      </c>
      <c r="AA28" s="28">
        <v>0.83599999999999997</v>
      </c>
      <c r="AB28" s="30">
        <f t="shared" si="10"/>
        <v>0.82879999999999998</v>
      </c>
      <c r="AC28" s="30">
        <f t="shared" si="10"/>
        <v>0.8216</v>
      </c>
      <c r="AD28" s="30">
        <f t="shared" si="10"/>
        <v>0.81440000000000001</v>
      </c>
      <c r="AE28" s="30">
        <f t="shared" si="10"/>
        <v>0.80720000000000003</v>
      </c>
      <c r="AF28" s="28">
        <v>0.8</v>
      </c>
    </row>
    <row r="29" spans="1:32">
      <c r="A29" s="29">
        <f t="shared" si="5"/>
        <v>1050</v>
      </c>
      <c r="B29" s="28">
        <v>0.93700000000000006</v>
      </c>
      <c r="C29" s="30">
        <f t="shared" si="6"/>
        <v>0.93330000000000002</v>
      </c>
      <c r="D29" s="30">
        <f t="shared" si="6"/>
        <v>0.92960000000000009</v>
      </c>
      <c r="E29" s="30">
        <f t="shared" si="6"/>
        <v>0.92590000000000006</v>
      </c>
      <c r="F29" s="30">
        <f t="shared" si="6"/>
        <v>0.92220000000000002</v>
      </c>
      <c r="G29" s="30">
        <f t="shared" si="6"/>
        <v>0.91850000000000009</v>
      </c>
      <c r="H29" s="30">
        <f t="shared" si="6"/>
        <v>0.91480000000000006</v>
      </c>
      <c r="I29" s="30">
        <f t="shared" si="6"/>
        <v>0.91110000000000002</v>
      </c>
      <c r="J29" s="30">
        <f t="shared" si="6"/>
        <v>0.90739999999999998</v>
      </c>
      <c r="K29" s="30">
        <f t="shared" si="6"/>
        <v>0.90370000000000006</v>
      </c>
      <c r="L29" s="28">
        <v>0.9</v>
      </c>
      <c r="M29" s="30">
        <f t="shared" si="7"/>
        <v>0.89680000000000004</v>
      </c>
      <c r="N29" s="30">
        <f t="shared" si="7"/>
        <v>0.89360000000000006</v>
      </c>
      <c r="O29" s="30">
        <f t="shared" si="7"/>
        <v>0.89039999999999997</v>
      </c>
      <c r="P29" s="30">
        <f t="shared" si="7"/>
        <v>0.88719999999999999</v>
      </c>
      <c r="Q29" s="28">
        <v>0.88400000000000001</v>
      </c>
      <c r="R29" s="30">
        <f t="shared" si="8"/>
        <v>0.879</v>
      </c>
      <c r="S29" s="30">
        <f t="shared" si="8"/>
        <v>0.874</v>
      </c>
      <c r="T29" s="30">
        <f t="shared" si="8"/>
        <v>0.86899999999999999</v>
      </c>
      <c r="U29" s="30">
        <f t="shared" si="8"/>
        <v>0.86399999999999999</v>
      </c>
      <c r="V29" s="28">
        <v>0.85899999999999999</v>
      </c>
      <c r="W29" s="30">
        <f t="shared" si="9"/>
        <v>0.85319999999999996</v>
      </c>
      <c r="X29" s="30">
        <f t="shared" si="9"/>
        <v>0.84739999999999993</v>
      </c>
      <c r="Y29" s="30">
        <f t="shared" si="9"/>
        <v>0.84160000000000001</v>
      </c>
      <c r="Z29" s="30">
        <f t="shared" si="9"/>
        <v>0.83579999999999999</v>
      </c>
      <c r="AA29" s="28">
        <v>0.83</v>
      </c>
      <c r="AB29" s="30">
        <f t="shared" si="10"/>
        <v>0.82279999999999998</v>
      </c>
      <c r="AC29" s="30">
        <f t="shared" si="10"/>
        <v>0.81559999999999999</v>
      </c>
      <c r="AD29" s="30">
        <f t="shared" si="10"/>
        <v>0.80840000000000001</v>
      </c>
      <c r="AE29" s="30">
        <f t="shared" si="10"/>
        <v>0.80120000000000002</v>
      </c>
      <c r="AF29" s="28">
        <v>0.79400000000000004</v>
      </c>
    </row>
    <row r="30" spans="1:32">
      <c r="A30" s="29">
        <f t="shared" si="5"/>
        <v>1100</v>
      </c>
      <c r="B30" s="28">
        <v>0.93500000000000005</v>
      </c>
      <c r="C30" s="30">
        <f t="shared" si="6"/>
        <v>0.93120000000000003</v>
      </c>
      <c r="D30" s="30">
        <f t="shared" si="6"/>
        <v>0.9274</v>
      </c>
      <c r="E30" s="30">
        <f t="shared" si="6"/>
        <v>0.92360000000000009</v>
      </c>
      <c r="F30" s="30">
        <f t="shared" si="6"/>
        <v>0.91980000000000006</v>
      </c>
      <c r="G30" s="30">
        <f t="shared" si="6"/>
        <v>0.91600000000000004</v>
      </c>
      <c r="H30" s="30">
        <f t="shared" si="6"/>
        <v>0.91220000000000001</v>
      </c>
      <c r="I30" s="30">
        <f t="shared" si="6"/>
        <v>0.90839999999999999</v>
      </c>
      <c r="J30" s="30">
        <f t="shared" si="6"/>
        <v>0.90460000000000007</v>
      </c>
      <c r="K30" s="30">
        <f t="shared" si="6"/>
        <v>0.90080000000000005</v>
      </c>
      <c r="L30" s="28">
        <v>0.89700000000000002</v>
      </c>
      <c r="M30" s="30">
        <f t="shared" si="7"/>
        <v>0.89360000000000006</v>
      </c>
      <c r="N30" s="30">
        <f t="shared" si="7"/>
        <v>0.89019999999999999</v>
      </c>
      <c r="O30" s="30">
        <f t="shared" si="7"/>
        <v>0.88680000000000003</v>
      </c>
      <c r="P30" s="30">
        <f t="shared" si="7"/>
        <v>0.88339999999999996</v>
      </c>
      <c r="Q30" s="28">
        <v>0.88</v>
      </c>
      <c r="R30" s="30">
        <f t="shared" si="8"/>
        <v>0.87480000000000002</v>
      </c>
      <c r="S30" s="30">
        <f t="shared" si="8"/>
        <v>0.86960000000000004</v>
      </c>
      <c r="T30" s="30">
        <f t="shared" si="8"/>
        <v>0.86439999999999995</v>
      </c>
      <c r="U30" s="30">
        <f t="shared" si="8"/>
        <v>0.85919999999999996</v>
      </c>
      <c r="V30" s="28">
        <v>0.85399999999999998</v>
      </c>
      <c r="W30" s="30">
        <f t="shared" si="9"/>
        <v>0.84799999999999998</v>
      </c>
      <c r="X30" s="30">
        <f t="shared" si="9"/>
        <v>0.84199999999999997</v>
      </c>
      <c r="Y30" s="30">
        <f t="shared" si="9"/>
        <v>0.83599999999999997</v>
      </c>
      <c r="Z30" s="30">
        <f t="shared" si="9"/>
        <v>0.83</v>
      </c>
      <c r="AA30" s="28">
        <v>0.82399999999999995</v>
      </c>
      <c r="AB30" s="30">
        <f t="shared" si="10"/>
        <v>0.81579999999999997</v>
      </c>
      <c r="AC30" s="30">
        <f t="shared" si="10"/>
        <v>0.80759999999999998</v>
      </c>
      <c r="AD30" s="30">
        <f t="shared" si="10"/>
        <v>0.7994</v>
      </c>
      <c r="AE30" s="30">
        <f t="shared" si="10"/>
        <v>0.79120000000000001</v>
      </c>
      <c r="AF30" s="28">
        <v>0.78300000000000003</v>
      </c>
    </row>
    <row r="31" spans="1:32">
      <c r="A31" s="29">
        <f t="shared" si="5"/>
        <v>1150</v>
      </c>
      <c r="B31" s="28">
        <v>0.93300000000000005</v>
      </c>
      <c r="C31" s="30">
        <f t="shared" si="6"/>
        <v>0.92900000000000005</v>
      </c>
      <c r="D31" s="30">
        <f t="shared" si="6"/>
        <v>0.92500000000000004</v>
      </c>
      <c r="E31" s="30">
        <f t="shared" si="6"/>
        <v>0.92100000000000004</v>
      </c>
      <c r="F31" s="30">
        <f t="shared" si="6"/>
        <v>0.91700000000000004</v>
      </c>
      <c r="G31" s="30">
        <f t="shared" si="6"/>
        <v>0.91300000000000003</v>
      </c>
      <c r="H31" s="30">
        <f t="shared" si="6"/>
        <v>0.90900000000000003</v>
      </c>
      <c r="I31" s="30">
        <f t="shared" si="6"/>
        <v>0.90500000000000003</v>
      </c>
      <c r="J31" s="30">
        <f t="shared" si="6"/>
        <v>0.90100000000000002</v>
      </c>
      <c r="K31" s="30">
        <f t="shared" si="6"/>
        <v>0.89700000000000002</v>
      </c>
      <c r="L31" s="28">
        <v>0.89300000000000002</v>
      </c>
      <c r="M31" s="30">
        <f t="shared" si="7"/>
        <v>0.88939999999999997</v>
      </c>
      <c r="N31" s="30">
        <f t="shared" si="7"/>
        <v>0.88580000000000003</v>
      </c>
      <c r="O31" s="30">
        <f t="shared" si="7"/>
        <v>0.88219999999999998</v>
      </c>
      <c r="P31" s="30">
        <f t="shared" si="7"/>
        <v>0.87860000000000005</v>
      </c>
      <c r="Q31" s="28">
        <v>0.875</v>
      </c>
      <c r="R31" s="30">
        <f t="shared" si="8"/>
        <v>0.86960000000000004</v>
      </c>
      <c r="S31" s="30">
        <f t="shared" si="8"/>
        <v>0.86419999999999997</v>
      </c>
      <c r="T31" s="30">
        <f t="shared" si="8"/>
        <v>0.85880000000000001</v>
      </c>
      <c r="U31" s="30">
        <f t="shared" si="8"/>
        <v>0.85339999999999994</v>
      </c>
      <c r="V31" s="28">
        <v>0.84799999999999998</v>
      </c>
      <c r="W31" s="30">
        <f t="shared" si="9"/>
        <v>0.84179999999999999</v>
      </c>
      <c r="X31" s="30">
        <f t="shared" si="9"/>
        <v>0.83560000000000001</v>
      </c>
      <c r="Y31" s="30">
        <f t="shared" si="9"/>
        <v>0.82939999999999992</v>
      </c>
      <c r="Z31" s="30">
        <f t="shared" si="9"/>
        <v>0.82319999999999993</v>
      </c>
      <c r="AA31" s="28">
        <v>0.81699999999999995</v>
      </c>
      <c r="AB31" s="30">
        <f t="shared" si="10"/>
        <v>0.80840000000000001</v>
      </c>
      <c r="AC31" s="30">
        <f t="shared" si="10"/>
        <v>0.79979999999999996</v>
      </c>
      <c r="AD31" s="30">
        <f t="shared" si="10"/>
        <v>0.79120000000000001</v>
      </c>
      <c r="AE31" s="30">
        <f t="shared" si="10"/>
        <v>0.78259999999999996</v>
      </c>
      <c r="AF31" s="28">
        <v>0.77400000000000002</v>
      </c>
    </row>
    <row r="32" spans="1:32">
      <c r="A32" s="29">
        <f t="shared" si="5"/>
        <v>1200</v>
      </c>
      <c r="B32" s="28">
        <v>0.93</v>
      </c>
      <c r="C32" s="30">
        <f t="shared" si="6"/>
        <v>0.92600000000000005</v>
      </c>
      <c r="D32" s="30">
        <f t="shared" si="6"/>
        <v>0.92200000000000004</v>
      </c>
      <c r="E32" s="30">
        <f t="shared" si="6"/>
        <v>0.91800000000000004</v>
      </c>
      <c r="F32" s="30">
        <f t="shared" si="6"/>
        <v>0.91400000000000003</v>
      </c>
      <c r="G32" s="30">
        <f t="shared" si="6"/>
        <v>0.91</v>
      </c>
      <c r="H32" s="30">
        <f t="shared" si="6"/>
        <v>0.90600000000000003</v>
      </c>
      <c r="I32" s="30">
        <f t="shared" si="6"/>
        <v>0.90200000000000002</v>
      </c>
      <c r="J32" s="30">
        <f t="shared" si="6"/>
        <v>0.89800000000000002</v>
      </c>
      <c r="K32" s="30">
        <f t="shared" si="6"/>
        <v>0.89400000000000002</v>
      </c>
      <c r="L32" s="28">
        <v>0.89</v>
      </c>
      <c r="M32" s="30">
        <f t="shared" si="7"/>
        <v>0.88600000000000001</v>
      </c>
      <c r="N32" s="30">
        <f t="shared" si="7"/>
        <v>0.88200000000000001</v>
      </c>
      <c r="O32" s="30">
        <f t="shared" si="7"/>
        <v>0.878</v>
      </c>
      <c r="P32" s="30">
        <f t="shared" si="7"/>
        <v>0.874</v>
      </c>
      <c r="Q32" s="28">
        <v>0.87</v>
      </c>
      <c r="R32" s="30">
        <f t="shared" si="8"/>
        <v>0.86399999999999999</v>
      </c>
      <c r="S32" s="30">
        <f t="shared" si="8"/>
        <v>0.85799999999999998</v>
      </c>
      <c r="T32" s="30">
        <f t="shared" si="8"/>
        <v>0.85199999999999998</v>
      </c>
      <c r="U32" s="30">
        <f t="shared" si="8"/>
        <v>0.84599999999999997</v>
      </c>
      <c r="V32" s="28">
        <v>0.84</v>
      </c>
      <c r="W32" s="30">
        <f t="shared" si="9"/>
        <v>0.83379999999999999</v>
      </c>
      <c r="X32" s="30">
        <f t="shared" si="9"/>
        <v>0.8276</v>
      </c>
      <c r="Y32" s="30">
        <f t="shared" si="9"/>
        <v>0.82140000000000002</v>
      </c>
      <c r="Z32" s="30">
        <f t="shared" si="9"/>
        <v>0.81520000000000004</v>
      </c>
      <c r="AA32" s="28">
        <v>0.80900000000000005</v>
      </c>
      <c r="AB32" s="30">
        <f t="shared" si="10"/>
        <v>0.8</v>
      </c>
      <c r="AC32" s="30">
        <f t="shared" si="10"/>
        <v>0.79100000000000004</v>
      </c>
      <c r="AD32" s="30">
        <f t="shared" si="10"/>
        <v>0.78200000000000003</v>
      </c>
      <c r="AE32" s="30">
        <f t="shared" si="10"/>
        <v>0.77300000000000002</v>
      </c>
      <c r="AF32" s="28">
        <v>0.76400000000000001</v>
      </c>
    </row>
    <row r="33" spans="1:32">
      <c r="A33" s="29">
        <f>A32+50</f>
        <v>1250</v>
      </c>
      <c r="B33" s="28">
        <v>0.92700000000000005</v>
      </c>
      <c r="C33" s="30">
        <f t="shared" si="6"/>
        <v>0.92300000000000004</v>
      </c>
      <c r="D33" s="30">
        <f t="shared" si="6"/>
        <v>0.91900000000000004</v>
      </c>
      <c r="E33" s="30">
        <f t="shared" si="6"/>
        <v>0.91500000000000004</v>
      </c>
      <c r="F33" s="30">
        <f t="shared" si="6"/>
        <v>0.91100000000000003</v>
      </c>
      <c r="G33" s="30">
        <f t="shared" si="6"/>
        <v>0.90700000000000003</v>
      </c>
      <c r="H33" s="30">
        <f t="shared" si="6"/>
        <v>0.90300000000000002</v>
      </c>
      <c r="I33" s="30">
        <f t="shared" si="6"/>
        <v>0.89900000000000002</v>
      </c>
      <c r="J33" s="30">
        <f t="shared" si="6"/>
        <v>0.89500000000000002</v>
      </c>
      <c r="K33" s="30">
        <f t="shared" si="6"/>
        <v>0.89100000000000001</v>
      </c>
      <c r="L33" s="28">
        <v>0.88700000000000001</v>
      </c>
      <c r="M33" s="30">
        <f t="shared" si="7"/>
        <v>0.88239999999999996</v>
      </c>
      <c r="N33" s="30">
        <f t="shared" si="7"/>
        <v>0.87780000000000002</v>
      </c>
      <c r="O33" s="30">
        <f t="shared" si="7"/>
        <v>0.87319999999999998</v>
      </c>
      <c r="P33" s="30">
        <f t="shared" si="7"/>
        <v>0.86860000000000004</v>
      </c>
      <c r="Q33" s="28">
        <v>0.86399999999999999</v>
      </c>
      <c r="R33" s="30">
        <f t="shared" si="8"/>
        <v>0.85760000000000003</v>
      </c>
      <c r="S33" s="30">
        <f t="shared" si="8"/>
        <v>0.85119999999999996</v>
      </c>
      <c r="T33" s="30">
        <f t="shared" si="8"/>
        <v>0.8448</v>
      </c>
      <c r="U33" s="30">
        <f t="shared" si="8"/>
        <v>0.83839999999999992</v>
      </c>
      <c r="V33" s="28">
        <v>0.83199999999999996</v>
      </c>
      <c r="W33" s="30">
        <f t="shared" si="9"/>
        <v>0.82579999999999998</v>
      </c>
      <c r="X33" s="30">
        <f t="shared" si="9"/>
        <v>0.8196</v>
      </c>
      <c r="Y33" s="30">
        <f t="shared" si="9"/>
        <v>0.81340000000000001</v>
      </c>
      <c r="Z33" s="30">
        <f t="shared" si="9"/>
        <v>0.80720000000000003</v>
      </c>
      <c r="AA33" s="28">
        <v>0.80100000000000005</v>
      </c>
      <c r="AB33" s="30">
        <f t="shared" si="10"/>
        <v>0.79180000000000006</v>
      </c>
      <c r="AC33" s="30">
        <f t="shared" si="10"/>
        <v>0.78260000000000007</v>
      </c>
      <c r="AD33" s="30">
        <f t="shared" si="10"/>
        <v>0.77339999999999998</v>
      </c>
      <c r="AE33" s="30">
        <f t="shared" si="10"/>
        <v>0.76419999999999999</v>
      </c>
      <c r="AF33" s="28">
        <v>0.755</v>
      </c>
    </row>
    <row r="41" spans="1:32">
      <c r="A41" s="17" t="s">
        <v>14</v>
      </c>
    </row>
    <row r="43" spans="1:32">
      <c r="A43" s="17">
        <v>150</v>
      </c>
      <c r="C43" s="17" t="s">
        <v>40</v>
      </c>
      <c r="G43" s="17">
        <v>95</v>
      </c>
      <c r="I43" s="17" t="s">
        <v>62</v>
      </c>
      <c r="M43" s="17">
        <v>40</v>
      </c>
      <c r="O43" s="17" t="s">
        <v>54</v>
      </c>
    </row>
    <row r="44" spans="1:32">
      <c r="A44" s="17">
        <f t="shared" ref="A44:A53" si="11">A43-5</f>
        <v>145</v>
      </c>
      <c r="C44" s="17" t="s">
        <v>70</v>
      </c>
      <c r="G44" s="17">
        <f t="shared" ref="G44:G53" si="12">G43-5</f>
        <v>90</v>
      </c>
      <c r="I44" s="17" t="s">
        <v>61</v>
      </c>
      <c r="M44" s="17">
        <f t="shared" ref="M44:M51" si="13">M43-5</f>
        <v>35</v>
      </c>
      <c r="O44" s="17" t="s">
        <v>52</v>
      </c>
    </row>
    <row r="45" spans="1:32">
      <c r="A45" s="17">
        <f t="shared" si="11"/>
        <v>140</v>
      </c>
      <c r="C45" s="17" t="s">
        <v>69</v>
      </c>
      <c r="G45" s="17">
        <f t="shared" si="12"/>
        <v>85</v>
      </c>
      <c r="I45" s="17" t="s">
        <v>60</v>
      </c>
      <c r="M45" s="17">
        <f t="shared" si="13"/>
        <v>30</v>
      </c>
      <c r="O45" s="17" t="s">
        <v>51</v>
      </c>
    </row>
    <row r="46" spans="1:32">
      <c r="A46" s="17">
        <f t="shared" si="11"/>
        <v>135</v>
      </c>
      <c r="C46" s="17" t="s">
        <v>68</v>
      </c>
      <c r="G46" s="17">
        <f t="shared" si="12"/>
        <v>80</v>
      </c>
      <c r="I46" s="17" t="s">
        <v>59</v>
      </c>
      <c r="M46" s="17">
        <f t="shared" si="13"/>
        <v>25</v>
      </c>
      <c r="O46" s="17" t="s">
        <v>45</v>
      </c>
    </row>
    <row r="47" spans="1:32">
      <c r="A47" s="17">
        <f t="shared" si="11"/>
        <v>130</v>
      </c>
      <c r="C47" s="17" t="s">
        <v>67</v>
      </c>
      <c r="G47" s="17">
        <f t="shared" si="12"/>
        <v>75</v>
      </c>
      <c r="I47" s="17" t="s">
        <v>43</v>
      </c>
      <c r="M47" s="17">
        <f t="shared" si="13"/>
        <v>20</v>
      </c>
      <c r="O47" s="17" t="s">
        <v>50</v>
      </c>
    </row>
    <row r="48" spans="1:32">
      <c r="A48" s="17">
        <f t="shared" si="11"/>
        <v>125</v>
      </c>
      <c r="C48" s="17" t="s">
        <v>41</v>
      </c>
      <c r="G48" s="17">
        <f t="shared" si="12"/>
        <v>70</v>
      </c>
      <c r="I48" s="17" t="s">
        <v>58</v>
      </c>
      <c r="M48" s="17">
        <f t="shared" si="13"/>
        <v>15</v>
      </c>
      <c r="O48" s="17" t="s">
        <v>49</v>
      </c>
    </row>
    <row r="49" spans="1:15">
      <c r="A49" s="17">
        <f t="shared" si="11"/>
        <v>120</v>
      </c>
      <c r="C49" s="17" t="s">
        <v>66</v>
      </c>
      <c r="G49" s="17">
        <f t="shared" si="12"/>
        <v>65</v>
      </c>
      <c r="I49" s="17" t="s">
        <v>57</v>
      </c>
      <c r="M49" s="17">
        <f t="shared" si="13"/>
        <v>10</v>
      </c>
      <c r="O49" s="17" t="s">
        <v>48</v>
      </c>
    </row>
    <row r="50" spans="1:15">
      <c r="A50" s="17">
        <f t="shared" si="11"/>
        <v>115</v>
      </c>
      <c r="C50" s="17" t="s">
        <v>65</v>
      </c>
      <c r="G50" s="17">
        <f t="shared" si="12"/>
        <v>60</v>
      </c>
      <c r="I50" s="17" t="s">
        <v>56</v>
      </c>
      <c r="M50" s="17">
        <f t="shared" si="13"/>
        <v>5</v>
      </c>
      <c r="O50" s="17" t="s">
        <v>47</v>
      </c>
    </row>
    <row r="51" spans="1:15">
      <c r="A51" s="17">
        <f t="shared" si="11"/>
        <v>110</v>
      </c>
      <c r="C51" s="17" t="s">
        <v>64</v>
      </c>
      <c r="G51" s="17">
        <f t="shared" si="12"/>
        <v>55</v>
      </c>
      <c r="I51" s="17" t="s">
        <v>55</v>
      </c>
      <c r="M51" s="17">
        <f t="shared" si="13"/>
        <v>0</v>
      </c>
      <c r="O51" s="17" t="s">
        <v>46</v>
      </c>
    </row>
    <row r="52" spans="1:15">
      <c r="A52" s="17">
        <f t="shared" si="11"/>
        <v>105</v>
      </c>
      <c r="C52" s="17" t="s">
        <v>63</v>
      </c>
      <c r="G52" s="17">
        <f t="shared" si="12"/>
        <v>50</v>
      </c>
      <c r="I52" s="17" t="s">
        <v>44</v>
      </c>
    </row>
    <row r="53" spans="1:15">
      <c r="A53" s="17">
        <f t="shared" si="11"/>
        <v>100</v>
      </c>
      <c r="C53" s="17" t="s">
        <v>42</v>
      </c>
      <c r="G53" s="17">
        <f t="shared" si="12"/>
        <v>45</v>
      </c>
      <c r="I53" s="17" t="s">
        <v>53</v>
      </c>
    </row>
  </sheetData>
  <sheetProtection sheet="1" objects="1" scenarios="1"/>
  <mergeCells count="4">
    <mergeCell ref="A1:D3"/>
    <mergeCell ref="B5:N5"/>
    <mergeCell ref="O5:AF5"/>
    <mergeCell ref="G2:K3"/>
  </mergeCells>
  <phoneticPr fontId="1" type="noConversion"/>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sheetPr codeName="Sheet3"/>
  <dimension ref="A1:AF53"/>
  <sheetViews>
    <sheetView topLeftCell="F31" workbookViewId="0">
      <selection activeCell="Y30" sqref="Y30"/>
    </sheetView>
  </sheetViews>
  <sheetFormatPr defaultRowHeight="12.75"/>
  <cols>
    <col min="1" max="1" width="16.140625" customWidth="1"/>
    <col min="2" max="32" width="11.28515625" customWidth="1"/>
  </cols>
  <sheetData>
    <row r="1" spans="1:32">
      <c r="A1" s="162" t="s">
        <v>5</v>
      </c>
      <c r="B1" s="162"/>
      <c r="C1" s="162"/>
      <c r="D1" s="162"/>
    </row>
    <row r="2" spans="1:32">
      <c r="A2" s="162"/>
      <c r="B2" s="162"/>
      <c r="C2" s="162"/>
      <c r="D2" s="162"/>
      <c r="G2" s="168" t="s">
        <v>39</v>
      </c>
      <c r="H2" s="169"/>
      <c r="I2" s="169"/>
      <c r="J2" s="169"/>
      <c r="K2" s="169"/>
    </row>
    <row r="3" spans="1:32">
      <c r="A3" s="162"/>
      <c r="B3" s="162"/>
      <c r="C3" s="162"/>
      <c r="D3" s="162"/>
      <c r="E3" s="6"/>
      <c r="F3" s="6"/>
      <c r="G3" s="169"/>
      <c r="H3" s="169"/>
      <c r="I3" s="169"/>
      <c r="J3" s="169"/>
      <c r="K3" s="169"/>
    </row>
    <row r="4" spans="1:32" ht="13.5" thickBot="1">
      <c r="A4" s="13"/>
      <c r="B4" s="6"/>
    </row>
    <row r="5" spans="1:32" ht="18.75" thickBot="1">
      <c r="A5" s="3"/>
      <c r="B5" s="163" t="s">
        <v>12</v>
      </c>
      <c r="C5" s="164"/>
      <c r="D5" s="164"/>
      <c r="E5" s="164"/>
      <c r="F5" s="164"/>
      <c r="G5" s="164"/>
      <c r="H5" s="164"/>
      <c r="I5" s="164"/>
      <c r="J5" s="164"/>
      <c r="K5" s="164"/>
      <c r="L5" s="164"/>
      <c r="M5" s="164"/>
      <c r="N5" s="165"/>
      <c r="O5" s="166" t="s">
        <v>12</v>
      </c>
      <c r="P5" s="166"/>
      <c r="Q5" s="166"/>
      <c r="R5" s="166"/>
      <c r="S5" s="166"/>
      <c r="T5" s="166"/>
      <c r="U5" s="166"/>
      <c r="V5" s="166"/>
      <c r="W5" s="166"/>
      <c r="X5" s="166"/>
      <c r="Y5" s="166"/>
      <c r="Z5" s="166"/>
      <c r="AA5" s="166"/>
      <c r="AB5" s="166"/>
      <c r="AC5" s="166"/>
      <c r="AD5" s="166"/>
      <c r="AE5" s="166"/>
      <c r="AF5" s="167"/>
    </row>
    <row r="6" spans="1:32">
      <c r="B6" s="4">
        <v>150</v>
      </c>
      <c r="C6" s="10">
        <f>B6-5</f>
        <v>145</v>
      </c>
      <c r="D6" s="10">
        <f t="shared" ref="D6:AF6" si="0">C6-5</f>
        <v>140</v>
      </c>
      <c r="E6" s="10">
        <f t="shared" si="0"/>
        <v>135</v>
      </c>
      <c r="F6" s="10">
        <f t="shared" si="0"/>
        <v>130</v>
      </c>
      <c r="G6" s="10">
        <f t="shared" si="0"/>
        <v>125</v>
      </c>
      <c r="H6" s="10">
        <f t="shared" si="0"/>
        <v>120</v>
      </c>
      <c r="I6" s="10">
        <f t="shared" si="0"/>
        <v>115</v>
      </c>
      <c r="J6" s="10">
        <f t="shared" si="0"/>
        <v>110</v>
      </c>
      <c r="K6" s="10">
        <f t="shared" si="0"/>
        <v>105</v>
      </c>
      <c r="L6" s="11">
        <f t="shared" si="0"/>
        <v>100</v>
      </c>
      <c r="M6" s="10">
        <f t="shared" si="0"/>
        <v>95</v>
      </c>
      <c r="N6" s="10">
        <f t="shared" si="0"/>
        <v>90</v>
      </c>
      <c r="O6" s="10">
        <f t="shared" si="0"/>
        <v>85</v>
      </c>
      <c r="P6" s="10">
        <f t="shared" si="0"/>
        <v>80</v>
      </c>
      <c r="Q6" s="11">
        <f t="shared" si="0"/>
        <v>75</v>
      </c>
      <c r="R6" s="10">
        <f t="shared" si="0"/>
        <v>70</v>
      </c>
      <c r="S6" s="10">
        <f t="shared" si="0"/>
        <v>65</v>
      </c>
      <c r="T6" s="10">
        <f t="shared" si="0"/>
        <v>60</v>
      </c>
      <c r="U6" s="10">
        <f t="shared" si="0"/>
        <v>55</v>
      </c>
      <c r="V6" s="11">
        <f t="shared" si="0"/>
        <v>50</v>
      </c>
      <c r="W6" s="10">
        <f t="shared" si="0"/>
        <v>45</v>
      </c>
      <c r="X6" s="10">
        <f t="shared" si="0"/>
        <v>40</v>
      </c>
      <c r="Y6" s="10">
        <f t="shared" si="0"/>
        <v>35</v>
      </c>
      <c r="Z6" s="10">
        <f t="shared" si="0"/>
        <v>30</v>
      </c>
      <c r="AA6" s="11">
        <f t="shared" si="0"/>
        <v>25</v>
      </c>
      <c r="AB6" s="10">
        <f t="shared" si="0"/>
        <v>20</v>
      </c>
      <c r="AC6" s="10">
        <f t="shared" si="0"/>
        <v>15</v>
      </c>
      <c r="AD6" s="10">
        <f t="shared" si="0"/>
        <v>10</v>
      </c>
      <c r="AE6" s="10">
        <f t="shared" si="0"/>
        <v>5</v>
      </c>
      <c r="AF6" s="11">
        <f t="shared" si="0"/>
        <v>0</v>
      </c>
    </row>
    <row r="7" spans="1:32" ht="12.75" customHeight="1">
      <c r="A7" s="1" t="s">
        <v>1</v>
      </c>
      <c r="B7" s="7" t="s">
        <v>3</v>
      </c>
      <c r="C7" s="9" t="s">
        <v>3</v>
      </c>
      <c r="D7" s="9" t="s">
        <v>3</v>
      </c>
      <c r="E7" s="9" t="s">
        <v>3</v>
      </c>
      <c r="F7" s="9" t="s">
        <v>3</v>
      </c>
      <c r="G7" s="9" t="s">
        <v>3</v>
      </c>
      <c r="H7" s="9" t="s">
        <v>3</v>
      </c>
      <c r="I7" s="9" t="s">
        <v>3</v>
      </c>
      <c r="J7" s="9" t="s">
        <v>3</v>
      </c>
      <c r="K7" s="9" t="s">
        <v>3</v>
      </c>
      <c r="L7" s="7" t="s">
        <v>3</v>
      </c>
      <c r="M7" s="9" t="s">
        <v>3</v>
      </c>
      <c r="N7" s="9" t="s">
        <v>3</v>
      </c>
      <c r="O7" s="9" t="s">
        <v>3</v>
      </c>
      <c r="P7" s="9" t="s">
        <v>3</v>
      </c>
      <c r="Q7" s="8" t="s">
        <v>3</v>
      </c>
      <c r="R7" s="9" t="s">
        <v>3</v>
      </c>
      <c r="S7" s="9" t="s">
        <v>3</v>
      </c>
      <c r="T7" s="9" t="s">
        <v>3</v>
      </c>
      <c r="U7" s="9" t="s">
        <v>3</v>
      </c>
      <c r="V7" s="5" t="s">
        <v>3</v>
      </c>
      <c r="W7" s="9" t="s">
        <v>3</v>
      </c>
      <c r="X7" s="9" t="s">
        <v>3</v>
      </c>
      <c r="Y7" s="9" t="s">
        <v>3</v>
      </c>
      <c r="Z7" s="9" t="s">
        <v>3</v>
      </c>
      <c r="AA7" s="5" t="s">
        <v>3</v>
      </c>
      <c r="AB7" s="9" t="s">
        <v>3</v>
      </c>
      <c r="AC7" s="9" t="s">
        <v>3</v>
      </c>
      <c r="AD7" s="9" t="s">
        <v>3</v>
      </c>
      <c r="AE7" s="9" t="s">
        <v>3</v>
      </c>
      <c r="AF7" s="5" t="s">
        <v>3</v>
      </c>
    </row>
    <row r="8" spans="1:32">
      <c r="A8" s="12">
        <v>0</v>
      </c>
      <c r="B8" s="5">
        <v>1</v>
      </c>
      <c r="C8" s="2">
        <v>1</v>
      </c>
      <c r="D8" s="2">
        <v>1</v>
      </c>
      <c r="E8" s="2">
        <v>1</v>
      </c>
      <c r="F8" s="2">
        <v>1</v>
      </c>
      <c r="G8" s="2">
        <v>1</v>
      </c>
      <c r="H8" s="2">
        <v>1</v>
      </c>
      <c r="I8" s="2">
        <v>1</v>
      </c>
      <c r="J8" s="2">
        <v>1</v>
      </c>
      <c r="K8" s="2">
        <v>1</v>
      </c>
      <c r="L8" s="5">
        <v>1</v>
      </c>
      <c r="M8" s="2">
        <v>1</v>
      </c>
      <c r="N8" s="2">
        <v>1</v>
      </c>
      <c r="O8" s="2">
        <v>1</v>
      </c>
      <c r="P8" s="2">
        <v>1</v>
      </c>
      <c r="Q8" s="5">
        <v>1</v>
      </c>
      <c r="R8" s="2">
        <v>1</v>
      </c>
      <c r="S8" s="2">
        <v>1</v>
      </c>
      <c r="T8" s="2">
        <v>1</v>
      </c>
      <c r="U8" s="2">
        <v>1</v>
      </c>
      <c r="V8" s="5">
        <v>1</v>
      </c>
      <c r="W8" s="2">
        <v>1</v>
      </c>
      <c r="X8" s="2">
        <v>1</v>
      </c>
      <c r="Y8" s="2">
        <v>1</v>
      </c>
      <c r="Z8" s="2">
        <v>1</v>
      </c>
      <c r="AA8" s="5">
        <v>1</v>
      </c>
      <c r="AB8" s="2">
        <v>1</v>
      </c>
      <c r="AC8" s="2">
        <v>1</v>
      </c>
      <c r="AD8" s="2">
        <v>1</v>
      </c>
      <c r="AE8" s="2">
        <v>1</v>
      </c>
      <c r="AF8" s="5">
        <v>1</v>
      </c>
    </row>
    <row r="9" spans="1:32">
      <c r="A9" s="12">
        <f>A8+50</f>
        <v>50</v>
      </c>
      <c r="B9" s="5">
        <v>0.995</v>
      </c>
      <c r="C9" s="2">
        <f>((C$6-$L$6)*($B9-$L9))/($B$6-$L$6) + $L9</f>
        <v>0.99470000000000003</v>
      </c>
      <c r="D9" s="2">
        <f>((D$6-$L$6)*($B9-$L9))/($B$6-$L$6) + $L9</f>
        <v>0.99439999999999995</v>
      </c>
      <c r="E9" s="2">
        <f t="shared" ref="E9:K24" si="1">((E$6-$L$6)*($B9-$L9))/($B$6-$L$6) + $L9</f>
        <v>0.99409999999999998</v>
      </c>
      <c r="F9" s="2">
        <f t="shared" si="1"/>
        <v>0.99380000000000002</v>
      </c>
      <c r="G9" s="2">
        <f t="shared" si="1"/>
        <v>0.99350000000000005</v>
      </c>
      <c r="H9" s="2">
        <f t="shared" si="1"/>
        <v>0.99319999999999997</v>
      </c>
      <c r="I9" s="2">
        <f t="shared" si="1"/>
        <v>0.9929</v>
      </c>
      <c r="J9" s="2">
        <f t="shared" si="1"/>
        <v>0.99260000000000004</v>
      </c>
      <c r="K9" s="2">
        <f t="shared" si="1"/>
        <v>0.99229999999999996</v>
      </c>
      <c r="L9" s="5">
        <v>0.99199999999999999</v>
      </c>
      <c r="M9" s="2">
        <f>((M$6-$Q$6)*($L9-$Q9))/($L$6-$Q$6) + $Q9</f>
        <v>0.99160000000000004</v>
      </c>
      <c r="N9" s="2">
        <f>((N$6-$Q$6)*($L9-$Q9))/($L$6-$Q$6) + $Q9</f>
        <v>0.99119999999999997</v>
      </c>
      <c r="O9" s="2">
        <f>((O$6-$Q$6)*($L9-$Q9))/($L$6-$Q$6) + $Q9</f>
        <v>0.99080000000000001</v>
      </c>
      <c r="P9" s="2">
        <f>((P$6-$Q$6)*($L9-$Q9))/($L$6-$Q$6) + $Q9</f>
        <v>0.99039999999999995</v>
      </c>
      <c r="Q9" s="5">
        <v>0.99</v>
      </c>
      <c r="R9" s="2">
        <f>((R$6-$V$6)*($Q9-$V9))/($Q$6-$V$6) + $V9</f>
        <v>0.98899999999999999</v>
      </c>
      <c r="S9" s="2">
        <f t="shared" ref="S9:U24" si="2">((S$6-$V$6)*($Q9-$V9))/($Q$6-$V$6) + $V9</f>
        <v>0.98799999999999999</v>
      </c>
      <c r="T9" s="2">
        <f t="shared" si="2"/>
        <v>0.98699999999999999</v>
      </c>
      <c r="U9" s="2">
        <f t="shared" si="2"/>
        <v>0.98599999999999999</v>
      </c>
      <c r="V9" s="5">
        <v>0.98499999999999999</v>
      </c>
      <c r="W9" s="2">
        <f>((W$6-$AA$6)*($V9-$AA9))/($V$6-$AA$6) + $AA9</f>
        <v>0.98439999999999994</v>
      </c>
      <c r="X9" s="2">
        <f t="shared" ref="X9:Z24" si="3">((X$6-$AA$6)*($V9-$AA9))/($V$6-$AA$6) + $AA9</f>
        <v>0.98380000000000001</v>
      </c>
      <c r="Y9" s="2">
        <f t="shared" si="3"/>
        <v>0.98319999999999996</v>
      </c>
      <c r="Z9" s="2">
        <f t="shared" si="3"/>
        <v>0.98260000000000003</v>
      </c>
      <c r="AA9" s="5">
        <v>0.98199999999999998</v>
      </c>
      <c r="AB9" s="2">
        <f>((AB$6-$AF$6)*($AA9-$AF9))/($AA$6-$AF$6) + $AF9</f>
        <v>0.98160000000000003</v>
      </c>
      <c r="AC9" s="2">
        <f t="shared" ref="AC9:AE24" si="4">((AC$6-$AF$6)*($AA9-$AF9))/($AA$6-$AF$6) + $AF9</f>
        <v>0.98119999999999996</v>
      </c>
      <c r="AD9" s="2">
        <f t="shared" si="4"/>
        <v>0.98080000000000001</v>
      </c>
      <c r="AE9" s="2">
        <f t="shared" si="4"/>
        <v>0.98039999999999994</v>
      </c>
      <c r="AF9" s="5">
        <v>0.98</v>
      </c>
    </row>
    <row r="10" spans="1:32">
      <c r="A10" s="12">
        <f t="shared" ref="A10:A32" si="5">A9+50</f>
        <v>100</v>
      </c>
      <c r="B10" s="5">
        <v>0.99099999999999999</v>
      </c>
      <c r="C10" s="2">
        <f t="shared" ref="C10:K33" si="6">((C$6-$L$6)*($B10-$L10))/($B$6-$L$6) + $L10</f>
        <v>0.99039999999999995</v>
      </c>
      <c r="D10" s="2">
        <f t="shared" si="6"/>
        <v>0.98980000000000001</v>
      </c>
      <c r="E10" s="2">
        <f t="shared" si="1"/>
        <v>0.98919999999999997</v>
      </c>
      <c r="F10" s="2">
        <f t="shared" si="1"/>
        <v>0.98860000000000003</v>
      </c>
      <c r="G10" s="2">
        <f t="shared" si="1"/>
        <v>0.98799999999999999</v>
      </c>
      <c r="H10" s="2">
        <f t="shared" si="1"/>
        <v>0.98739999999999994</v>
      </c>
      <c r="I10" s="2">
        <f t="shared" si="1"/>
        <v>0.98680000000000001</v>
      </c>
      <c r="J10" s="2">
        <f t="shared" si="1"/>
        <v>0.98619999999999997</v>
      </c>
      <c r="K10" s="2">
        <f t="shared" si="1"/>
        <v>0.98560000000000003</v>
      </c>
      <c r="L10" s="5">
        <v>0.98499999999999999</v>
      </c>
      <c r="M10" s="2">
        <f t="shared" ref="M10:P33" si="7">((M$6-$Q$6)*($L10-$Q10))/($L$6-$Q$6) + $Q10</f>
        <v>0.98439999999999994</v>
      </c>
      <c r="N10" s="2">
        <f t="shared" si="7"/>
        <v>0.98380000000000001</v>
      </c>
      <c r="O10" s="2">
        <f t="shared" si="7"/>
        <v>0.98319999999999996</v>
      </c>
      <c r="P10" s="2">
        <f t="shared" si="7"/>
        <v>0.98260000000000003</v>
      </c>
      <c r="Q10" s="5">
        <v>0.98199999999999998</v>
      </c>
      <c r="R10" s="2">
        <f t="shared" ref="R10:U33" si="8">((R$6-$V$6)*($Q10-$V10))/($Q$6-$V$6) + $V10</f>
        <v>0.98060000000000003</v>
      </c>
      <c r="S10" s="2">
        <f t="shared" si="2"/>
        <v>0.97919999999999996</v>
      </c>
      <c r="T10" s="2">
        <f t="shared" si="2"/>
        <v>0.9778</v>
      </c>
      <c r="U10" s="2">
        <f t="shared" si="2"/>
        <v>0.97639999999999993</v>
      </c>
      <c r="V10" s="5">
        <v>0.97499999999999998</v>
      </c>
      <c r="W10" s="2">
        <f t="shared" ref="W10:Z33" si="9">((W$6-$AA$6)*($V10-$AA10))/($V$6-$AA$6) + $AA10</f>
        <v>0.97439999999999993</v>
      </c>
      <c r="X10" s="2">
        <f t="shared" si="3"/>
        <v>0.9738</v>
      </c>
      <c r="Y10" s="2">
        <f t="shared" si="3"/>
        <v>0.97319999999999995</v>
      </c>
      <c r="Z10" s="2">
        <f t="shared" si="3"/>
        <v>0.97260000000000002</v>
      </c>
      <c r="AA10" s="5">
        <v>0.97199999999999998</v>
      </c>
      <c r="AB10" s="2">
        <f t="shared" ref="AB10:AE33" si="10">((AB$6-$AF$6)*($AA10-$AF10))/($AA$6-$AF$6) + $AF10</f>
        <v>0.9708</v>
      </c>
      <c r="AC10" s="2">
        <f t="shared" si="4"/>
        <v>0.96960000000000002</v>
      </c>
      <c r="AD10" s="2">
        <f t="shared" si="4"/>
        <v>0.96839999999999993</v>
      </c>
      <c r="AE10" s="2">
        <f t="shared" si="4"/>
        <v>0.96719999999999995</v>
      </c>
      <c r="AF10" s="5">
        <v>0.96599999999999997</v>
      </c>
    </row>
    <row r="11" spans="1:32">
      <c r="A11" s="12">
        <f t="shared" si="5"/>
        <v>150</v>
      </c>
      <c r="B11" s="5">
        <v>0.98499999999999999</v>
      </c>
      <c r="C11" s="2">
        <f t="shared" si="6"/>
        <v>0.98439999999999994</v>
      </c>
      <c r="D11" s="2">
        <f t="shared" si="6"/>
        <v>0.98380000000000001</v>
      </c>
      <c r="E11" s="2">
        <f t="shared" si="1"/>
        <v>0.98319999999999996</v>
      </c>
      <c r="F11" s="2">
        <f t="shared" si="1"/>
        <v>0.98260000000000003</v>
      </c>
      <c r="G11" s="2">
        <f t="shared" si="1"/>
        <v>0.98199999999999998</v>
      </c>
      <c r="H11" s="2">
        <f t="shared" si="1"/>
        <v>0.98139999999999994</v>
      </c>
      <c r="I11" s="2">
        <f t="shared" si="1"/>
        <v>0.98080000000000001</v>
      </c>
      <c r="J11" s="2">
        <f t="shared" si="1"/>
        <v>0.98019999999999996</v>
      </c>
      <c r="K11" s="2">
        <f t="shared" si="1"/>
        <v>0.97960000000000003</v>
      </c>
      <c r="L11" s="5">
        <v>0.97899999999999998</v>
      </c>
      <c r="M11" s="2">
        <f t="shared" si="7"/>
        <v>0.97799999999999998</v>
      </c>
      <c r="N11" s="2">
        <f t="shared" si="7"/>
        <v>0.97699999999999998</v>
      </c>
      <c r="O11" s="2">
        <f t="shared" si="7"/>
        <v>0.97599999999999998</v>
      </c>
      <c r="P11" s="2">
        <f t="shared" si="7"/>
        <v>0.97499999999999998</v>
      </c>
      <c r="Q11" s="5">
        <v>0.97399999999999998</v>
      </c>
      <c r="R11" s="2">
        <f t="shared" si="8"/>
        <v>0.97260000000000002</v>
      </c>
      <c r="S11" s="2">
        <f t="shared" si="2"/>
        <v>0.97119999999999995</v>
      </c>
      <c r="T11" s="2">
        <f t="shared" si="2"/>
        <v>0.9698</v>
      </c>
      <c r="U11" s="2">
        <f t="shared" si="2"/>
        <v>0.96839999999999993</v>
      </c>
      <c r="V11" s="5">
        <v>0.96699999999999997</v>
      </c>
      <c r="W11" s="2">
        <f t="shared" si="9"/>
        <v>0.96660000000000001</v>
      </c>
      <c r="X11" s="2">
        <f t="shared" si="3"/>
        <v>0.96619999999999995</v>
      </c>
      <c r="Y11" s="2">
        <f t="shared" si="3"/>
        <v>0.96579999999999999</v>
      </c>
      <c r="Z11" s="2">
        <f t="shared" si="3"/>
        <v>0.96539999999999992</v>
      </c>
      <c r="AA11" s="5">
        <v>0.96499999999999997</v>
      </c>
      <c r="AB11" s="2">
        <f t="shared" si="10"/>
        <v>0.96299999999999997</v>
      </c>
      <c r="AC11" s="2">
        <f t="shared" si="4"/>
        <v>0.96099999999999997</v>
      </c>
      <c r="AD11" s="2">
        <f t="shared" si="4"/>
        <v>0.95899999999999996</v>
      </c>
      <c r="AE11" s="2">
        <f t="shared" si="4"/>
        <v>0.95699999999999996</v>
      </c>
      <c r="AF11" s="5">
        <v>0.95499999999999996</v>
      </c>
    </row>
    <row r="12" spans="1:32">
      <c r="A12" s="12">
        <f t="shared" si="5"/>
        <v>200</v>
      </c>
      <c r="B12" s="5">
        <v>0.98</v>
      </c>
      <c r="C12" s="2">
        <f t="shared" si="6"/>
        <v>0.97909999999999997</v>
      </c>
      <c r="D12" s="2">
        <f t="shared" si="6"/>
        <v>0.97819999999999996</v>
      </c>
      <c r="E12" s="2">
        <f t="shared" si="1"/>
        <v>0.97729999999999995</v>
      </c>
      <c r="F12" s="2">
        <f t="shared" si="1"/>
        <v>0.97639999999999993</v>
      </c>
      <c r="G12" s="2">
        <f t="shared" si="1"/>
        <v>0.97550000000000003</v>
      </c>
      <c r="H12" s="2">
        <f t="shared" si="1"/>
        <v>0.97460000000000002</v>
      </c>
      <c r="I12" s="2">
        <f t="shared" si="1"/>
        <v>0.97370000000000001</v>
      </c>
      <c r="J12" s="2">
        <f t="shared" si="1"/>
        <v>0.9728</v>
      </c>
      <c r="K12" s="2">
        <f t="shared" si="1"/>
        <v>0.97189999999999999</v>
      </c>
      <c r="L12" s="5">
        <v>0.97099999999999997</v>
      </c>
      <c r="M12" s="2">
        <f t="shared" si="7"/>
        <v>0.97019999999999995</v>
      </c>
      <c r="N12" s="2">
        <f t="shared" si="7"/>
        <v>0.96939999999999993</v>
      </c>
      <c r="O12" s="2">
        <f t="shared" si="7"/>
        <v>0.96860000000000002</v>
      </c>
      <c r="P12" s="2">
        <f t="shared" si="7"/>
        <v>0.96779999999999999</v>
      </c>
      <c r="Q12" s="5">
        <v>0.96699999999999997</v>
      </c>
      <c r="R12" s="2">
        <f t="shared" si="8"/>
        <v>0.96560000000000001</v>
      </c>
      <c r="S12" s="2">
        <f t="shared" si="2"/>
        <v>0.96419999999999995</v>
      </c>
      <c r="T12" s="2">
        <f t="shared" si="2"/>
        <v>0.96279999999999999</v>
      </c>
      <c r="U12" s="2">
        <f t="shared" si="2"/>
        <v>0.96139999999999992</v>
      </c>
      <c r="V12" s="5">
        <v>0.96</v>
      </c>
      <c r="W12" s="2">
        <f t="shared" si="9"/>
        <v>0.95919999999999994</v>
      </c>
      <c r="X12" s="2">
        <f t="shared" si="3"/>
        <v>0.95839999999999992</v>
      </c>
      <c r="Y12" s="2">
        <f t="shared" si="3"/>
        <v>0.95760000000000001</v>
      </c>
      <c r="Z12" s="2">
        <f t="shared" si="3"/>
        <v>0.95679999999999998</v>
      </c>
      <c r="AA12" s="5">
        <v>0.95599999999999996</v>
      </c>
      <c r="AB12" s="2">
        <f t="shared" si="10"/>
        <v>0.95319999999999994</v>
      </c>
      <c r="AC12" s="2">
        <f t="shared" si="4"/>
        <v>0.95039999999999991</v>
      </c>
      <c r="AD12" s="2">
        <f t="shared" si="4"/>
        <v>0.9476</v>
      </c>
      <c r="AE12" s="2">
        <f t="shared" si="4"/>
        <v>0.94479999999999997</v>
      </c>
      <c r="AF12" s="5">
        <v>0.94199999999999995</v>
      </c>
    </row>
    <row r="13" spans="1:32">
      <c r="A13" s="12">
        <f t="shared" si="5"/>
        <v>250</v>
      </c>
      <c r="B13" s="5">
        <v>0.97399999999999998</v>
      </c>
      <c r="C13" s="2">
        <f t="shared" si="6"/>
        <v>0.97289999999999999</v>
      </c>
      <c r="D13" s="2">
        <f t="shared" si="6"/>
        <v>0.9718</v>
      </c>
      <c r="E13" s="2">
        <f t="shared" si="1"/>
        <v>0.97070000000000001</v>
      </c>
      <c r="F13" s="2">
        <f t="shared" si="1"/>
        <v>0.96960000000000002</v>
      </c>
      <c r="G13" s="2">
        <f t="shared" si="1"/>
        <v>0.96849999999999992</v>
      </c>
      <c r="H13" s="2">
        <f t="shared" si="1"/>
        <v>0.96739999999999993</v>
      </c>
      <c r="I13" s="2">
        <f t="shared" si="1"/>
        <v>0.96629999999999994</v>
      </c>
      <c r="J13" s="2">
        <f t="shared" si="1"/>
        <v>0.96519999999999995</v>
      </c>
      <c r="K13" s="2">
        <f t="shared" si="1"/>
        <v>0.96409999999999996</v>
      </c>
      <c r="L13" s="5">
        <v>0.96299999999999997</v>
      </c>
      <c r="M13" s="2">
        <f t="shared" si="7"/>
        <v>0.96239999999999992</v>
      </c>
      <c r="N13" s="2">
        <f t="shared" si="7"/>
        <v>0.96179999999999999</v>
      </c>
      <c r="O13" s="2">
        <f t="shared" si="7"/>
        <v>0.96119999999999994</v>
      </c>
      <c r="P13" s="2">
        <f t="shared" si="7"/>
        <v>0.96060000000000001</v>
      </c>
      <c r="Q13" s="5">
        <v>0.96</v>
      </c>
      <c r="R13" s="2">
        <f t="shared" si="8"/>
        <v>0.95799999999999996</v>
      </c>
      <c r="S13" s="2">
        <f t="shared" si="2"/>
        <v>0.95599999999999996</v>
      </c>
      <c r="T13" s="2">
        <f t="shared" si="2"/>
        <v>0.95399999999999996</v>
      </c>
      <c r="U13" s="2">
        <f t="shared" si="2"/>
        <v>0.95199999999999996</v>
      </c>
      <c r="V13" s="5">
        <v>0.95</v>
      </c>
      <c r="W13" s="2">
        <f t="shared" si="9"/>
        <v>0.94919999999999993</v>
      </c>
      <c r="X13" s="2">
        <f t="shared" si="3"/>
        <v>0.94839999999999991</v>
      </c>
      <c r="Y13" s="2">
        <f t="shared" si="3"/>
        <v>0.9476</v>
      </c>
      <c r="Z13" s="2">
        <f t="shared" si="3"/>
        <v>0.94679999999999997</v>
      </c>
      <c r="AA13" s="5">
        <v>0.94599999999999995</v>
      </c>
      <c r="AB13" s="2">
        <f t="shared" si="10"/>
        <v>0.94259999999999999</v>
      </c>
      <c r="AC13" s="2">
        <f t="shared" si="4"/>
        <v>0.93920000000000003</v>
      </c>
      <c r="AD13" s="2">
        <f t="shared" si="4"/>
        <v>0.93579999999999997</v>
      </c>
      <c r="AE13" s="2">
        <f t="shared" si="4"/>
        <v>0.93240000000000001</v>
      </c>
      <c r="AF13" s="5">
        <v>0.92900000000000005</v>
      </c>
    </row>
    <row r="14" spans="1:32">
      <c r="A14" s="12">
        <f t="shared" si="5"/>
        <v>300</v>
      </c>
      <c r="B14" s="5">
        <v>0.97</v>
      </c>
      <c r="C14" s="2">
        <f t="shared" si="6"/>
        <v>0.96870000000000001</v>
      </c>
      <c r="D14" s="2">
        <f t="shared" si="6"/>
        <v>0.96739999999999993</v>
      </c>
      <c r="E14" s="2">
        <f t="shared" si="1"/>
        <v>0.96609999999999996</v>
      </c>
      <c r="F14" s="2">
        <f t="shared" si="1"/>
        <v>0.96479999999999999</v>
      </c>
      <c r="G14" s="2">
        <f t="shared" si="1"/>
        <v>0.96350000000000002</v>
      </c>
      <c r="H14" s="2">
        <f t="shared" si="1"/>
        <v>0.96219999999999994</v>
      </c>
      <c r="I14" s="2">
        <f t="shared" si="1"/>
        <v>0.96089999999999998</v>
      </c>
      <c r="J14" s="2">
        <f t="shared" si="1"/>
        <v>0.95960000000000001</v>
      </c>
      <c r="K14" s="2">
        <f t="shared" si="1"/>
        <v>0.95829999999999993</v>
      </c>
      <c r="L14" s="5">
        <v>0.95699999999999996</v>
      </c>
      <c r="M14" s="2">
        <f t="shared" si="7"/>
        <v>0.95619999999999994</v>
      </c>
      <c r="N14" s="2">
        <f t="shared" si="7"/>
        <v>0.95539999999999992</v>
      </c>
      <c r="O14" s="2">
        <f t="shared" si="7"/>
        <v>0.9546</v>
      </c>
      <c r="P14" s="2">
        <f t="shared" si="7"/>
        <v>0.95379999999999998</v>
      </c>
      <c r="Q14" s="5">
        <v>0.95299999999999996</v>
      </c>
      <c r="R14" s="2">
        <f t="shared" si="8"/>
        <v>0.95079999999999998</v>
      </c>
      <c r="S14" s="2">
        <f t="shared" si="2"/>
        <v>0.9486</v>
      </c>
      <c r="T14" s="2">
        <f t="shared" si="2"/>
        <v>0.94639999999999991</v>
      </c>
      <c r="U14" s="2">
        <f t="shared" si="2"/>
        <v>0.94419999999999993</v>
      </c>
      <c r="V14" s="5">
        <v>0.94199999999999995</v>
      </c>
      <c r="W14" s="2">
        <f t="shared" si="9"/>
        <v>0.94079999999999997</v>
      </c>
      <c r="X14" s="2">
        <f t="shared" si="3"/>
        <v>0.93959999999999999</v>
      </c>
      <c r="Y14" s="2">
        <f t="shared" si="3"/>
        <v>0.93840000000000001</v>
      </c>
      <c r="Z14" s="2">
        <f t="shared" si="3"/>
        <v>0.93720000000000003</v>
      </c>
      <c r="AA14" s="5">
        <v>0.93600000000000005</v>
      </c>
      <c r="AB14" s="2">
        <f t="shared" si="10"/>
        <v>0.93280000000000007</v>
      </c>
      <c r="AC14" s="2">
        <f t="shared" si="4"/>
        <v>0.92960000000000009</v>
      </c>
      <c r="AD14" s="2">
        <f t="shared" si="4"/>
        <v>0.9264</v>
      </c>
      <c r="AE14" s="2">
        <f t="shared" si="4"/>
        <v>0.92320000000000002</v>
      </c>
      <c r="AF14" s="5">
        <v>0.92</v>
      </c>
    </row>
    <row r="15" spans="1:32">
      <c r="A15" s="12">
        <f t="shared" si="5"/>
        <v>350</v>
      </c>
      <c r="B15" s="5">
        <v>0.96399999999999997</v>
      </c>
      <c r="C15" s="2">
        <f t="shared" si="6"/>
        <v>0.96279999999999999</v>
      </c>
      <c r="D15" s="2">
        <f t="shared" si="6"/>
        <v>0.96160000000000001</v>
      </c>
      <c r="E15" s="2">
        <f t="shared" si="1"/>
        <v>0.96039999999999992</v>
      </c>
      <c r="F15" s="2">
        <f t="shared" si="1"/>
        <v>0.95919999999999994</v>
      </c>
      <c r="G15" s="2">
        <f t="shared" si="1"/>
        <v>0.95799999999999996</v>
      </c>
      <c r="H15" s="2">
        <f t="shared" si="1"/>
        <v>0.95679999999999998</v>
      </c>
      <c r="I15" s="2">
        <f t="shared" si="1"/>
        <v>0.9556</v>
      </c>
      <c r="J15" s="2">
        <f t="shared" si="1"/>
        <v>0.95439999999999992</v>
      </c>
      <c r="K15" s="2">
        <f t="shared" si="1"/>
        <v>0.95319999999999994</v>
      </c>
      <c r="L15" s="5">
        <v>0.95199999999999996</v>
      </c>
      <c r="M15" s="2">
        <f t="shared" si="7"/>
        <v>0.95099999999999996</v>
      </c>
      <c r="N15" s="2">
        <f t="shared" si="7"/>
        <v>0.95</v>
      </c>
      <c r="O15" s="2">
        <f t="shared" si="7"/>
        <v>0.94899999999999995</v>
      </c>
      <c r="P15" s="2">
        <f t="shared" si="7"/>
        <v>0.94799999999999995</v>
      </c>
      <c r="Q15" s="5">
        <v>0.94699999999999995</v>
      </c>
      <c r="R15" s="2">
        <f t="shared" si="8"/>
        <v>0.9446</v>
      </c>
      <c r="S15" s="2">
        <f t="shared" si="2"/>
        <v>0.94220000000000004</v>
      </c>
      <c r="T15" s="2">
        <f t="shared" si="2"/>
        <v>0.93979999999999997</v>
      </c>
      <c r="U15" s="2">
        <f t="shared" si="2"/>
        <v>0.93740000000000001</v>
      </c>
      <c r="V15" s="5">
        <v>0.93500000000000005</v>
      </c>
      <c r="W15" s="2">
        <f t="shared" si="9"/>
        <v>0.93340000000000001</v>
      </c>
      <c r="X15" s="2">
        <f t="shared" si="3"/>
        <v>0.93180000000000007</v>
      </c>
      <c r="Y15" s="2">
        <f t="shared" si="3"/>
        <v>0.93020000000000003</v>
      </c>
      <c r="Z15" s="2">
        <f t="shared" si="3"/>
        <v>0.92860000000000009</v>
      </c>
      <c r="AA15" s="5">
        <v>0.92700000000000005</v>
      </c>
      <c r="AB15" s="2">
        <f t="shared" si="10"/>
        <v>0.92280000000000006</v>
      </c>
      <c r="AC15" s="2">
        <f t="shared" si="4"/>
        <v>0.91860000000000008</v>
      </c>
      <c r="AD15" s="2">
        <f t="shared" si="4"/>
        <v>0.91439999999999999</v>
      </c>
      <c r="AE15" s="2">
        <f t="shared" si="4"/>
        <v>0.91020000000000001</v>
      </c>
      <c r="AF15" s="5">
        <v>0.90600000000000003</v>
      </c>
    </row>
    <row r="16" spans="1:32">
      <c r="A16" s="12">
        <f t="shared" si="5"/>
        <v>400</v>
      </c>
      <c r="B16" s="5">
        <v>0.96099999999999997</v>
      </c>
      <c r="C16" s="2">
        <f t="shared" si="6"/>
        <v>0.9597</v>
      </c>
      <c r="D16" s="2">
        <f t="shared" si="6"/>
        <v>0.95839999999999992</v>
      </c>
      <c r="E16" s="2">
        <f t="shared" si="1"/>
        <v>0.95709999999999995</v>
      </c>
      <c r="F16" s="2">
        <f t="shared" si="1"/>
        <v>0.95579999999999998</v>
      </c>
      <c r="G16" s="2">
        <f t="shared" si="1"/>
        <v>0.9544999999999999</v>
      </c>
      <c r="H16" s="2">
        <f t="shared" si="1"/>
        <v>0.95319999999999994</v>
      </c>
      <c r="I16" s="2">
        <f t="shared" si="1"/>
        <v>0.95189999999999997</v>
      </c>
      <c r="J16" s="2">
        <f t="shared" si="1"/>
        <v>0.9506</v>
      </c>
      <c r="K16" s="2">
        <f t="shared" si="1"/>
        <v>0.94929999999999992</v>
      </c>
      <c r="L16" s="5">
        <v>0.94799999999999995</v>
      </c>
      <c r="M16" s="2">
        <f t="shared" si="7"/>
        <v>0.94639999999999991</v>
      </c>
      <c r="N16" s="2">
        <f t="shared" si="7"/>
        <v>0.94479999999999997</v>
      </c>
      <c r="O16" s="2">
        <f t="shared" si="7"/>
        <v>0.94319999999999993</v>
      </c>
      <c r="P16" s="2">
        <f t="shared" si="7"/>
        <v>0.94159999999999999</v>
      </c>
      <c r="Q16" s="5">
        <v>0.94</v>
      </c>
      <c r="R16" s="2">
        <f t="shared" si="8"/>
        <v>0.93759999999999999</v>
      </c>
      <c r="S16" s="2">
        <f t="shared" si="2"/>
        <v>0.93520000000000003</v>
      </c>
      <c r="T16" s="2">
        <f t="shared" si="2"/>
        <v>0.93279999999999996</v>
      </c>
      <c r="U16" s="2">
        <f t="shared" si="2"/>
        <v>0.9304</v>
      </c>
      <c r="V16" s="5">
        <v>0.92800000000000005</v>
      </c>
      <c r="W16" s="2">
        <f t="shared" si="9"/>
        <v>0.92560000000000009</v>
      </c>
      <c r="X16" s="2">
        <f t="shared" si="3"/>
        <v>0.92320000000000002</v>
      </c>
      <c r="Y16" s="2">
        <f t="shared" si="3"/>
        <v>0.92080000000000006</v>
      </c>
      <c r="Z16" s="2">
        <f t="shared" si="3"/>
        <v>0.91839999999999999</v>
      </c>
      <c r="AA16" s="5">
        <v>0.91600000000000004</v>
      </c>
      <c r="AB16" s="2">
        <f t="shared" si="10"/>
        <v>0.91100000000000003</v>
      </c>
      <c r="AC16" s="2">
        <f t="shared" si="4"/>
        <v>0.90600000000000003</v>
      </c>
      <c r="AD16" s="2">
        <f t="shared" si="4"/>
        <v>0.90100000000000002</v>
      </c>
      <c r="AE16" s="2">
        <f t="shared" si="4"/>
        <v>0.89600000000000002</v>
      </c>
      <c r="AF16" s="5">
        <v>0.89100000000000001</v>
      </c>
    </row>
    <row r="17" spans="1:32">
      <c r="A17" s="12">
        <f t="shared" si="5"/>
        <v>450</v>
      </c>
      <c r="B17" s="5">
        <v>0.95599999999999996</v>
      </c>
      <c r="C17" s="2">
        <f t="shared" si="6"/>
        <v>0.95469999999999999</v>
      </c>
      <c r="D17" s="2">
        <f t="shared" si="6"/>
        <v>0.95339999999999991</v>
      </c>
      <c r="E17" s="2">
        <f t="shared" si="1"/>
        <v>0.95209999999999995</v>
      </c>
      <c r="F17" s="2">
        <f t="shared" si="1"/>
        <v>0.95079999999999998</v>
      </c>
      <c r="G17" s="2">
        <f t="shared" si="1"/>
        <v>0.94950000000000001</v>
      </c>
      <c r="H17" s="2">
        <f t="shared" si="1"/>
        <v>0.94819999999999993</v>
      </c>
      <c r="I17" s="2">
        <f t="shared" si="1"/>
        <v>0.94689999999999996</v>
      </c>
      <c r="J17" s="2">
        <f t="shared" si="1"/>
        <v>0.9456</v>
      </c>
      <c r="K17" s="2">
        <f t="shared" si="1"/>
        <v>0.94429999999999992</v>
      </c>
      <c r="L17" s="5">
        <v>0.94299999999999995</v>
      </c>
      <c r="M17" s="2">
        <f t="shared" si="7"/>
        <v>0.94079999999999997</v>
      </c>
      <c r="N17" s="2">
        <f t="shared" si="7"/>
        <v>0.93859999999999999</v>
      </c>
      <c r="O17" s="2">
        <f t="shared" si="7"/>
        <v>0.93640000000000001</v>
      </c>
      <c r="P17" s="2">
        <f t="shared" si="7"/>
        <v>0.93420000000000003</v>
      </c>
      <c r="Q17" s="5">
        <v>0.93200000000000005</v>
      </c>
      <c r="R17" s="2">
        <f t="shared" si="8"/>
        <v>0.9294</v>
      </c>
      <c r="S17" s="2">
        <f t="shared" si="2"/>
        <v>0.92680000000000007</v>
      </c>
      <c r="T17" s="2">
        <f t="shared" si="2"/>
        <v>0.92420000000000002</v>
      </c>
      <c r="U17" s="2">
        <f t="shared" si="2"/>
        <v>0.92160000000000009</v>
      </c>
      <c r="V17" s="5">
        <v>0.91900000000000004</v>
      </c>
      <c r="W17" s="2">
        <f t="shared" si="9"/>
        <v>0.91600000000000004</v>
      </c>
      <c r="X17" s="2">
        <f t="shared" si="3"/>
        <v>0.91300000000000003</v>
      </c>
      <c r="Y17" s="2">
        <f t="shared" si="3"/>
        <v>0.91</v>
      </c>
      <c r="Z17" s="2">
        <f t="shared" si="3"/>
        <v>0.90700000000000003</v>
      </c>
      <c r="AA17" s="5">
        <v>0.90400000000000003</v>
      </c>
      <c r="AB17" s="2">
        <f t="shared" si="10"/>
        <v>0.89839999999999998</v>
      </c>
      <c r="AC17" s="2">
        <f t="shared" si="4"/>
        <v>0.89280000000000004</v>
      </c>
      <c r="AD17" s="2">
        <f t="shared" si="4"/>
        <v>0.88719999999999999</v>
      </c>
      <c r="AE17" s="2">
        <f t="shared" si="4"/>
        <v>0.88160000000000005</v>
      </c>
      <c r="AF17" s="5">
        <v>0.876</v>
      </c>
    </row>
    <row r="18" spans="1:32">
      <c r="A18" s="12">
        <f t="shared" si="5"/>
        <v>500</v>
      </c>
      <c r="B18" s="5">
        <v>0.95099999999999996</v>
      </c>
      <c r="C18" s="2">
        <f t="shared" si="6"/>
        <v>0.94940000000000002</v>
      </c>
      <c r="D18" s="2">
        <f t="shared" si="6"/>
        <v>0.94779999999999998</v>
      </c>
      <c r="E18" s="2">
        <f t="shared" si="1"/>
        <v>0.94619999999999993</v>
      </c>
      <c r="F18" s="2">
        <f t="shared" si="1"/>
        <v>0.9446</v>
      </c>
      <c r="G18" s="2">
        <f t="shared" si="1"/>
        <v>0.94300000000000006</v>
      </c>
      <c r="H18" s="2">
        <f t="shared" si="1"/>
        <v>0.94140000000000001</v>
      </c>
      <c r="I18" s="2">
        <f t="shared" si="1"/>
        <v>0.93979999999999997</v>
      </c>
      <c r="J18" s="2">
        <f t="shared" si="1"/>
        <v>0.93820000000000003</v>
      </c>
      <c r="K18" s="2">
        <f t="shared" si="1"/>
        <v>0.9366000000000001</v>
      </c>
      <c r="L18" s="5">
        <v>0.93500000000000005</v>
      </c>
      <c r="M18" s="2">
        <f t="shared" si="7"/>
        <v>0.93300000000000005</v>
      </c>
      <c r="N18" s="2">
        <f t="shared" si="7"/>
        <v>0.93100000000000005</v>
      </c>
      <c r="O18" s="2">
        <f t="shared" si="7"/>
        <v>0.92900000000000005</v>
      </c>
      <c r="P18" s="2">
        <f t="shared" si="7"/>
        <v>0.92700000000000005</v>
      </c>
      <c r="Q18" s="5">
        <v>0.92500000000000004</v>
      </c>
      <c r="R18" s="2">
        <f t="shared" si="8"/>
        <v>0.92200000000000004</v>
      </c>
      <c r="S18" s="2">
        <f t="shared" si="2"/>
        <v>0.91900000000000004</v>
      </c>
      <c r="T18" s="2">
        <f t="shared" si="2"/>
        <v>0.91600000000000004</v>
      </c>
      <c r="U18" s="2">
        <f t="shared" si="2"/>
        <v>0.91300000000000003</v>
      </c>
      <c r="V18" s="5">
        <v>0.91</v>
      </c>
      <c r="W18" s="2">
        <f t="shared" si="9"/>
        <v>0.90660000000000007</v>
      </c>
      <c r="X18" s="2">
        <f t="shared" si="3"/>
        <v>0.9032</v>
      </c>
      <c r="Y18" s="2">
        <f t="shared" si="3"/>
        <v>0.89980000000000004</v>
      </c>
      <c r="Z18" s="2">
        <f t="shared" si="3"/>
        <v>0.89639999999999997</v>
      </c>
      <c r="AA18" s="5">
        <v>0.89300000000000002</v>
      </c>
      <c r="AB18" s="2">
        <f t="shared" si="10"/>
        <v>0.88700000000000001</v>
      </c>
      <c r="AC18" s="2">
        <f t="shared" si="4"/>
        <v>0.88100000000000001</v>
      </c>
      <c r="AD18" s="2">
        <f t="shared" si="4"/>
        <v>0.875</v>
      </c>
      <c r="AE18" s="2">
        <f t="shared" si="4"/>
        <v>0.86899999999999999</v>
      </c>
      <c r="AF18" s="5">
        <v>0.86299999999999999</v>
      </c>
    </row>
    <row r="19" spans="1:32">
      <c r="A19" s="12">
        <f t="shared" si="5"/>
        <v>550</v>
      </c>
      <c r="B19" s="5">
        <v>0.94899999999999995</v>
      </c>
      <c r="C19" s="2">
        <f t="shared" si="6"/>
        <v>0.94709999999999994</v>
      </c>
      <c r="D19" s="2">
        <f t="shared" si="6"/>
        <v>0.94519999999999993</v>
      </c>
      <c r="E19" s="2">
        <f t="shared" si="1"/>
        <v>0.94330000000000003</v>
      </c>
      <c r="F19" s="2">
        <f t="shared" si="1"/>
        <v>0.94140000000000001</v>
      </c>
      <c r="G19" s="2">
        <f t="shared" si="1"/>
        <v>0.9395</v>
      </c>
      <c r="H19" s="2">
        <f t="shared" si="1"/>
        <v>0.93759999999999999</v>
      </c>
      <c r="I19" s="2">
        <f t="shared" si="1"/>
        <v>0.93569999999999998</v>
      </c>
      <c r="J19" s="2">
        <f t="shared" si="1"/>
        <v>0.93380000000000007</v>
      </c>
      <c r="K19" s="2">
        <f t="shared" si="1"/>
        <v>0.93190000000000006</v>
      </c>
      <c r="L19" s="5">
        <v>0.93</v>
      </c>
      <c r="M19" s="2">
        <f t="shared" si="7"/>
        <v>0.92800000000000005</v>
      </c>
      <c r="N19" s="2">
        <f t="shared" si="7"/>
        <v>0.92600000000000005</v>
      </c>
      <c r="O19" s="2">
        <f t="shared" si="7"/>
        <v>0.92400000000000004</v>
      </c>
      <c r="P19" s="2">
        <f t="shared" si="7"/>
        <v>0.92200000000000004</v>
      </c>
      <c r="Q19" s="5">
        <v>0.92</v>
      </c>
      <c r="R19" s="2">
        <f t="shared" si="8"/>
        <v>0.91600000000000004</v>
      </c>
      <c r="S19" s="2">
        <f t="shared" si="2"/>
        <v>0.91200000000000003</v>
      </c>
      <c r="T19" s="2">
        <f t="shared" si="2"/>
        <v>0.90800000000000003</v>
      </c>
      <c r="U19" s="2">
        <f t="shared" si="2"/>
        <v>0.90400000000000003</v>
      </c>
      <c r="V19" s="5">
        <v>0.9</v>
      </c>
      <c r="W19" s="2">
        <f t="shared" si="9"/>
        <v>0.89639999999999997</v>
      </c>
      <c r="X19" s="2">
        <f t="shared" si="3"/>
        <v>0.89280000000000004</v>
      </c>
      <c r="Y19" s="2">
        <f t="shared" si="3"/>
        <v>0.88919999999999999</v>
      </c>
      <c r="Z19" s="2">
        <f t="shared" si="3"/>
        <v>0.88560000000000005</v>
      </c>
      <c r="AA19" s="5">
        <v>0.88200000000000001</v>
      </c>
      <c r="AB19" s="2">
        <f t="shared" si="10"/>
        <v>0.876</v>
      </c>
      <c r="AC19" s="2">
        <f t="shared" si="4"/>
        <v>0.87</v>
      </c>
      <c r="AD19" s="2">
        <f t="shared" si="4"/>
        <v>0.86399999999999999</v>
      </c>
      <c r="AE19" s="2">
        <f t="shared" si="4"/>
        <v>0.85799999999999998</v>
      </c>
      <c r="AF19" s="5">
        <v>0.85199999999999998</v>
      </c>
    </row>
    <row r="20" spans="1:32">
      <c r="A20" s="12">
        <f t="shared" si="5"/>
        <v>600</v>
      </c>
      <c r="B20" s="5">
        <v>0.94499999999999995</v>
      </c>
      <c r="C20" s="2">
        <f t="shared" si="6"/>
        <v>0.94289999999999996</v>
      </c>
      <c r="D20" s="2">
        <f t="shared" si="6"/>
        <v>0.94079999999999997</v>
      </c>
      <c r="E20" s="2">
        <f t="shared" si="1"/>
        <v>0.93869999999999998</v>
      </c>
      <c r="F20" s="2">
        <f t="shared" si="1"/>
        <v>0.93659999999999999</v>
      </c>
      <c r="G20" s="2">
        <f t="shared" si="1"/>
        <v>0.9345</v>
      </c>
      <c r="H20" s="2">
        <f t="shared" si="1"/>
        <v>0.93240000000000001</v>
      </c>
      <c r="I20" s="2">
        <f t="shared" si="1"/>
        <v>0.93030000000000002</v>
      </c>
      <c r="J20" s="2">
        <f t="shared" si="1"/>
        <v>0.92820000000000003</v>
      </c>
      <c r="K20" s="2">
        <f t="shared" si="1"/>
        <v>0.92610000000000003</v>
      </c>
      <c r="L20" s="5">
        <v>0.92400000000000004</v>
      </c>
      <c r="M20" s="2">
        <f t="shared" si="7"/>
        <v>0.9214</v>
      </c>
      <c r="N20" s="2">
        <f t="shared" si="7"/>
        <v>0.91880000000000006</v>
      </c>
      <c r="O20" s="2">
        <f t="shared" si="7"/>
        <v>0.91620000000000001</v>
      </c>
      <c r="P20" s="2">
        <f t="shared" si="7"/>
        <v>0.91360000000000008</v>
      </c>
      <c r="Q20" s="5">
        <v>0.91100000000000003</v>
      </c>
      <c r="R20" s="2">
        <f t="shared" si="8"/>
        <v>0.90680000000000005</v>
      </c>
      <c r="S20" s="2">
        <f t="shared" si="2"/>
        <v>0.90260000000000007</v>
      </c>
      <c r="T20" s="2">
        <f t="shared" si="2"/>
        <v>0.89839999999999998</v>
      </c>
      <c r="U20" s="2">
        <f t="shared" si="2"/>
        <v>0.89419999999999999</v>
      </c>
      <c r="V20" s="5">
        <v>0.89</v>
      </c>
      <c r="W20" s="2">
        <f t="shared" si="9"/>
        <v>0.88639999999999997</v>
      </c>
      <c r="X20" s="2">
        <f t="shared" si="3"/>
        <v>0.88280000000000003</v>
      </c>
      <c r="Y20" s="2">
        <f t="shared" si="3"/>
        <v>0.87919999999999998</v>
      </c>
      <c r="Z20" s="2">
        <f t="shared" si="3"/>
        <v>0.87560000000000004</v>
      </c>
      <c r="AA20" s="5">
        <v>0.872</v>
      </c>
      <c r="AB20" s="2">
        <f t="shared" si="10"/>
        <v>0.86519999999999997</v>
      </c>
      <c r="AC20" s="2">
        <f t="shared" si="4"/>
        <v>0.85839999999999994</v>
      </c>
      <c r="AD20" s="2">
        <f t="shared" si="4"/>
        <v>0.85160000000000002</v>
      </c>
      <c r="AE20" s="2">
        <f t="shared" si="4"/>
        <v>0.8448</v>
      </c>
      <c r="AF20" s="5">
        <v>0.83799999999999997</v>
      </c>
    </row>
    <row r="21" spans="1:32">
      <c r="A21" s="12">
        <f t="shared" si="5"/>
        <v>650</v>
      </c>
      <c r="B21" s="5">
        <v>0.94099999999999995</v>
      </c>
      <c r="C21" s="2">
        <f t="shared" si="6"/>
        <v>0.93879999999999997</v>
      </c>
      <c r="D21" s="2">
        <f t="shared" si="6"/>
        <v>0.93659999999999999</v>
      </c>
      <c r="E21" s="2">
        <f t="shared" si="1"/>
        <v>0.93440000000000001</v>
      </c>
      <c r="F21" s="2">
        <f t="shared" si="1"/>
        <v>0.93220000000000003</v>
      </c>
      <c r="G21" s="2">
        <f t="shared" si="1"/>
        <v>0.92999999999999994</v>
      </c>
      <c r="H21" s="2">
        <f t="shared" si="1"/>
        <v>0.92779999999999996</v>
      </c>
      <c r="I21" s="2">
        <f t="shared" si="1"/>
        <v>0.92559999999999998</v>
      </c>
      <c r="J21" s="2">
        <f t="shared" si="1"/>
        <v>0.9234</v>
      </c>
      <c r="K21" s="2">
        <f t="shared" si="1"/>
        <v>0.92120000000000002</v>
      </c>
      <c r="L21" s="5">
        <v>0.91900000000000004</v>
      </c>
      <c r="M21" s="2">
        <f t="shared" si="7"/>
        <v>0.91539999999999999</v>
      </c>
      <c r="N21" s="2">
        <f t="shared" si="7"/>
        <v>0.91180000000000005</v>
      </c>
      <c r="O21" s="2">
        <f t="shared" si="7"/>
        <v>0.90820000000000001</v>
      </c>
      <c r="P21" s="2">
        <f t="shared" si="7"/>
        <v>0.90460000000000007</v>
      </c>
      <c r="Q21" s="5">
        <v>0.90100000000000002</v>
      </c>
      <c r="R21" s="2">
        <f t="shared" si="8"/>
        <v>0.89680000000000004</v>
      </c>
      <c r="S21" s="2">
        <f t="shared" si="2"/>
        <v>0.89260000000000006</v>
      </c>
      <c r="T21" s="2">
        <f t="shared" si="2"/>
        <v>0.88839999999999997</v>
      </c>
      <c r="U21" s="2">
        <f t="shared" si="2"/>
        <v>0.88419999999999999</v>
      </c>
      <c r="V21" s="5">
        <v>0.88</v>
      </c>
      <c r="W21" s="2">
        <f t="shared" si="9"/>
        <v>0.87619999999999998</v>
      </c>
      <c r="X21" s="2">
        <f t="shared" si="3"/>
        <v>0.87239999999999995</v>
      </c>
      <c r="Y21" s="2">
        <f t="shared" si="3"/>
        <v>0.86860000000000004</v>
      </c>
      <c r="Z21" s="2">
        <f t="shared" si="3"/>
        <v>0.86480000000000001</v>
      </c>
      <c r="AA21" s="5">
        <v>0.86099999999999999</v>
      </c>
      <c r="AB21" s="2">
        <f t="shared" si="10"/>
        <v>0.85339999999999994</v>
      </c>
      <c r="AC21" s="2">
        <f t="shared" si="4"/>
        <v>0.8458</v>
      </c>
      <c r="AD21" s="2">
        <f t="shared" si="4"/>
        <v>0.83819999999999995</v>
      </c>
      <c r="AE21" s="2">
        <f t="shared" si="4"/>
        <v>0.8306</v>
      </c>
      <c r="AF21" s="5">
        <v>0.82299999999999995</v>
      </c>
    </row>
    <row r="22" spans="1:32">
      <c r="A22" s="12">
        <f t="shared" si="5"/>
        <v>700</v>
      </c>
      <c r="B22" s="5">
        <v>0.93700000000000006</v>
      </c>
      <c r="C22" s="2">
        <f t="shared" si="6"/>
        <v>0.93470000000000009</v>
      </c>
      <c r="D22" s="2">
        <f t="shared" si="6"/>
        <v>0.93240000000000001</v>
      </c>
      <c r="E22" s="2">
        <f t="shared" si="1"/>
        <v>0.93010000000000004</v>
      </c>
      <c r="F22" s="2">
        <f t="shared" si="1"/>
        <v>0.92780000000000007</v>
      </c>
      <c r="G22" s="2">
        <f t="shared" si="1"/>
        <v>0.92549999999999999</v>
      </c>
      <c r="H22" s="2">
        <f t="shared" si="1"/>
        <v>0.92320000000000002</v>
      </c>
      <c r="I22" s="2">
        <f t="shared" si="1"/>
        <v>0.92090000000000005</v>
      </c>
      <c r="J22" s="2">
        <f t="shared" si="1"/>
        <v>0.91860000000000008</v>
      </c>
      <c r="K22" s="2">
        <f t="shared" si="1"/>
        <v>0.9163</v>
      </c>
      <c r="L22" s="5">
        <v>0.91400000000000003</v>
      </c>
      <c r="M22" s="2">
        <f t="shared" si="7"/>
        <v>0.91020000000000001</v>
      </c>
      <c r="N22" s="2">
        <f t="shared" si="7"/>
        <v>0.90639999999999998</v>
      </c>
      <c r="O22" s="2">
        <f t="shared" si="7"/>
        <v>0.90260000000000007</v>
      </c>
      <c r="P22" s="2">
        <f t="shared" si="7"/>
        <v>0.89880000000000004</v>
      </c>
      <c r="Q22" s="5">
        <v>0.89500000000000002</v>
      </c>
      <c r="R22" s="2">
        <f t="shared" si="8"/>
        <v>0.89039999999999997</v>
      </c>
      <c r="S22" s="2">
        <f t="shared" si="2"/>
        <v>0.88580000000000003</v>
      </c>
      <c r="T22" s="2">
        <f t="shared" si="2"/>
        <v>0.88119999999999998</v>
      </c>
      <c r="U22" s="2">
        <f t="shared" si="2"/>
        <v>0.87660000000000005</v>
      </c>
      <c r="V22" s="5">
        <v>0.872</v>
      </c>
      <c r="W22" s="2">
        <f t="shared" si="9"/>
        <v>0.86760000000000004</v>
      </c>
      <c r="X22" s="2">
        <f t="shared" si="3"/>
        <v>0.86319999999999997</v>
      </c>
      <c r="Y22" s="2">
        <f t="shared" si="3"/>
        <v>0.85880000000000001</v>
      </c>
      <c r="Z22" s="2">
        <f t="shared" si="3"/>
        <v>0.85439999999999994</v>
      </c>
      <c r="AA22" s="5">
        <v>0.85</v>
      </c>
      <c r="AB22" s="2">
        <f t="shared" si="10"/>
        <v>0.84240000000000004</v>
      </c>
      <c r="AC22" s="2">
        <f t="shared" si="4"/>
        <v>0.83479999999999999</v>
      </c>
      <c r="AD22" s="2">
        <f t="shared" si="4"/>
        <v>0.82720000000000005</v>
      </c>
      <c r="AE22" s="2">
        <f t="shared" si="4"/>
        <v>0.8196</v>
      </c>
      <c r="AF22" s="5">
        <v>0.81200000000000006</v>
      </c>
    </row>
    <row r="23" spans="1:32">
      <c r="A23" s="12">
        <f t="shared" si="5"/>
        <v>750</v>
      </c>
      <c r="B23" s="5">
        <v>0.93200000000000005</v>
      </c>
      <c r="C23" s="2">
        <f t="shared" si="6"/>
        <v>0.9294</v>
      </c>
      <c r="D23" s="2">
        <f t="shared" si="6"/>
        <v>0.92680000000000007</v>
      </c>
      <c r="E23" s="2">
        <f t="shared" si="1"/>
        <v>0.92420000000000002</v>
      </c>
      <c r="F23" s="2">
        <f t="shared" si="1"/>
        <v>0.92160000000000009</v>
      </c>
      <c r="G23" s="2">
        <f t="shared" si="1"/>
        <v>0.91900000000000004</v>
      </c>
      <c r="H23" s="2">
        <f t="shared" si="1"/>
        <v>0.91639999999999999</v>
      </c>
      <c r="I23" s="2">
        <f t="shared" si="1"/>
        <v>0.91380000000000006</v>
      </c>
      <c r="J23" s="2">
        <f t="shared" si="1"/>
        <v>0.91120000000000001</v>
      </c>
      <c r="K23" s="2">
        <f t="shared" si="1"/>
        <v>0.90860000000000007</v>
      </c>
      <c r="L23" s="5">
        <v>0.90600000000000003</v>
      </c>
      <c r="M23" s="2">
        <f t="shared" si="7"/>
        <v>0.9022</v>
      </c>
      <c r="N23" s="2">
        <f t="shared" si="7"/>
        <v>0.89839999999999998</v>
      </c>
      <c r="O23" s="2">
        <f t="shared" si="7"/>
        <v>0.89460000000000006</v>
      </c>
      <c r="P23" s="2">
        <f t="shared" si="7"/>
        <v>0.89080000000000004</v>
      </c>
      <c r="Q23" s="5">
        <v>0.88700000000000001</v>
      </c>
      <c r="R23" s="2">
        <f t="shared" si="8"/>
        <v>0.88239999999999996</v>
      </c>
      <c r="S23" s="2">
        <f t="shared" si="2"/>
        <v>0.87780000000000002</v>
      </c>
      <c r="T23" s="2">
        <f t="shared" si="2"/>
        <v>0.87319999999999998</v>
      </c>
      <c r="U23" s="2">
        <f t="shared" si="2"/>
        <v>0.86860000000000004</v>
      </c>
      <c r="V23" s="5">
        <v>0.86399999999999999</v>
      </c>
      <c r="W23" s="2">
        <f t="shared" si="9"/>
        <v>0.85899999999999999</v>
      </c>
      <c r="X23" s="2">
        <f t="shared" si="3"/>
        <v>0.85399999999999998</v>
      </c>
      <c r="Y23" s="2">
        <f t="shared" si="3"/>
        <v>0.84899999999999998</v>
      </c>
      <c r="Z23" s="2">
        <f t="shared" si="3"/>
        <v>0.84399999999999997</v>
      </c>
      <c r="AA23" s="5">
        <v>0.83899999999999997</v>
      </c>
      <c r="AB23" s="2">
        <f t="shared" si="10"/>
        <v>0.83119999999999994</v>
      </c>
      <c r="AC23" s="2">
        <f t="shared" si="4"/>
        <v>0.82340000000000002</v>
      </c>
      <c r="AD23" s="2">
        <f t="shared" si="4"/>
        <v>0.81559999999999999</v>
      </c>
      <c r="AE23" s="2">
        <f t="shared" si="4"/>
        <v>0.80780000000000007</v>
      </c>
      <c r="AF23" s="5">
        <v>0.8</v>
      </c>
    </row>
    <row r="24" spans="1:32">
      <c r="A24" s="12">
        <f t="shared" si="5"/>
        <v>800</v>
      </c>
      <c r="B24" s="5">
        <v>0.92900000000000005</v>
      </c>
      <c r="C24" s="2">
        <f t="shared" si="6"/>
        <v>0.92610000000000003</v>
      </c>
      <c r="D24" s="2">
        <f t="shared" si="6"/>
        <v>0.92320000000000002</v>
      </c>
      <c r="E24" s="2">
        <f t="shared" si="1"/>
        <v>0.92030000000000001</v>
      </c>
      <c r="F24" s="2">
        <f t="shared" si="1"/>
        <v>0.91739999999999999</v>
      </c>
      <c r="G24" s="2">
        <f t="shared" si="1"/>
        <v>0.91450000000000009</v>
      </c>
      <c r="H24" s="2">
        <f t="shared" si="1"/>
        <v>0.91160000000000008</v>
      </c>
      <c r="I24" s="2">
        <f t="shared" si="1"/>
        <v>0.90870000000000006</v>
      </c>
      <c r="J24" s="2">
        <f t="shared" si="1"/>
        <v>0.90580000000000005</v>
      </c>
      <c r="K24" s="2">
        <f t="shared" si="1"/>
        <v>0.90290000000000004</v>
      </c>
      <c r="L24" s="5">
        <v>0.9</v>
      </c>
      <c r="M24" s="2">
        <f t="shared" si="7"/>
        <v>0.89600000000000002</v>
      </c>
      <c r="N24" s="2">
        <f t="shared" si="7"/>
        <v>0.89200000000000002</v>
      </c>
      <c r="O24" s="2">
        <f t="shared" si="7"/>
        <v>0.88800000000000001</v>
      </c>
      <c r="P24" s="2">
        <f t="shared" si="7"/>
        <v>0.88400000000000001</v>
      </c>
      <c r="Q24" s="5">
        <v>0.88</v>
      </c>
      <c r="R24" s="2">
        <f t="shared" si="8"/>
        <v>0.875</v>
      </c>
      <c r="S24" s="2">
        <f t="shared" si="2"/>
        <v>0.87</v>
      </c>
      <c r="T24" s="2">
        <f t="shared" si="2"/>
        <v>0.86499999999999999</v>
      </c>
      <c r="U24" s="2">
        <f t="shared" si="2"/>
        <v>0.86</v>
      </c>
      <c r="V24" s="5">
        <v>0.85499999999999998</v>
      </c>
      <c r="W24" s="2">
        <f t="shared" si="9"/>
        <v>0.85</v>
      </c>
      <c r="X24" s="2">
        <f t="shared" si="3"/>
        <v>0.84499999999999997</v>
      </c>
      <c r="Y24" s="2">
        <f t="shared" si="3"/>
        <v>0.84</v>
      </c>
      <c r="Z24" s="2">
        <f t="shared" si="3"/>
        <v>0.83499999999999996</v>
      </c>
      <c r="AA24" s="5">
        <v>0.83</v>
      </c>
      <c r="AB24" s="2">
        <f t="shared" si="10"/>
        <v>0.82099999999999995</v>
      </c>
      <c r="AC24" s="2">
        <f t="shared" si="4"/>
        <v>0.81199999999999994</v>
      </c>
      <c r="AD24" s="2">
        <f t="shared" si="4"/>
        <v>0.80300000000000005</v>
      </c>
      <c r="AE24" s="2">
        <f t="shared" si="4"/>
        <v>0.79400000000000004</v>
      </c>
      <c r="AF24" s="5">
        <v>0.78500000000000003</v>
      </c>
    </row>
    <row r="25" spans="1:32">
      <c r="A25" s="12">
        <f t="shared" si="5"/>
        <v>850</v>
      </c>
      <c r="B25" s="5">
        <v>0.92500000000000004</v>
      </c>
      <c r="C25" s="2">
        <f t="shared" si="6"/>
        <v>0.92170000000000007</v>
      </c>
      <c r="D25" s="2">
        <f t="shared" si="6"/>
        <v>0.91839999999999999</v>
      </c>
      <c r="E25" s="2">
        <f t="shared" si="6"/>
        <v>0.91510000000000002</v>
      </c>
      <c r="F25" s="2">
        <f t="shared" si="6"/>
        <v>0.91180000000000005</v>
      </c>
      <c r="G25" s="2">
        <f t="shared" si="6"/>
        <v>0.90850000000000009</v>
      </c>
      <c r="H25" s="2">
        <f t="shared" si="6"/>
        <v>0.9052</v>
      </c>
      <c r="I25" s="2">
        <f t="shared" si="6"/>
        <v>0.90190000000000003</v>
      </c>
      <c r="J25" s="2">
        <f t="shared" si="6"/>
        <v>0.89860000000000007</v>
      </c>
      <c r="K25" s="2">
        <f t="shared" si="6"/>
        <v>0.89529999999999998</v>
      </c>
      <c r="L25" s="5">
        <v>0.89200000000000002</v>
      </c>
      <c r="M25" s="2">
        <f t="shared" si="7"/>
        <v>0.88800000000000001</v>
      </c>
      <c r="N25" s="2">
        <f t="shared" si="7"/>
        <v>0.88400000000000001</v>
      </c>
      <c r="O25" s="2">
        <f t="shared" si="7"/>
        <v>0.88</v>
      </c>
      <c r="P25" s="2">
        <f t="shared" si="7"/>
        <v>0.876</v>
      </c>
      <c r="Q25" s="5">
        <v>0.872</v>
      </c>
      <c r="R25" s="2">
        <f t="shared" si="8"/>
        <v>0.86660000000000004</v>
      </c>
      <c r="S25" s="2">
        <f t="shared" si="8"/>
        <v>0.86119999999999997</v>
      </c>
      <c r="T25" s="2">
        <f t="shared" si="8"/>
        <v>0.85580000000000001</v>
      </c>
      <c r="U25" s="2">
        <f t="shared" si="8"/>
        <v>0.85039999999999993</v>
      </c>
      <c r="V25" s="5">
        <v>0.84499999999999997</v>
      </c>
      <c r="W25" s="2">
        <f t="shared" si="9"/>
        <v>0.84</v>
      </c>
      <c r="X25" s="2">
        <f t="shared" si="9"/>
        <v>0.83499999999999996</v>
      </c>
      <c r="Y25" s="2">
        <f t="shared" si="9"/>
        <v>0.83</v>
      </c>
      <c r="Z25" s="2">
        <f t="shared" si="9"/>
        <v>0.82499999999999996</v>
      </c>
      <c r="AA25" s="5">
        <v>0.82</v>
      </c>
      <c r="AB25" s="2">
        <f t="shared" si="10"/>
        <v>0.81019999999999992</v>
      </c>
      <c r="AC25" s="2">
        <f t="shared" si="10"/>
        <v>0.8004</v>
      </c>
      <c r="AD25" s="2">
        <f t="shared" si="10"/>
        <v>0.79059999999999997</v>
      </c>
      <c r="AE25" s="2">
        <f t="shared" si="10"/>
        <v>0.78080000000000005</v>
      </c>
      <c r="AF25" s="5">
        <v>0.77100000000000002</v>
      </c>
    </row>
    <row r="26" spans="1:32">
      <c r="A26" s="12">
        <f t="shared" si="5"/>
        <v>900</v>
      </c>
      <c r="B26" s="5">
        <v>0.92100000000000004</v>
      </c>
      <c r="C26" s="2">
        <f t="shared" si="6"/>
        <v>0.91749999999999998</v>
      </c>
      <c r="D26" s="2">
        <f t="shared" si="6"/>
        <v>0.91400000000000003</v>
      </c>
      <c r="E26" s="2">
        <f t="shared" si="6"/>
        <v>0.91049999999999998</v>
      </c>
      <c r="F26" s="2">
        <f t="shared" si="6"/>
        <v>0.90700000000000003</v>
      </c>
      <c r="G26" s="2">
        <f t="shared" si="6"/>
        <v>0.90349999999999997</v>
      </c>
      <c r="H26" s="2">
        <f t="shared" si="6"/>
        <v>0.9</v>
      </c>
      <c r="I26" s="2">
        <f t="shared" si="6"/>
        <v>0.89650000000000007</v>
      </c>
      <c r="J26" s="2">
        <f t="shared" si="6"/>
        <v>0.89300000000000002</v>
      </c>
      <c r="K26" s="2">
        <f t="shared" si="6"/>
        <v>0.88949999999999996</v>
      </c>
      <c r="L26" s="5">
        <v>0.88600000000000001</v>
      </c>
      <c r="M26" s="2">
        <f t="shared" si="7"/>
        <v>0.88180000000000003</v>
      </c>
      <c r="N26" s="2">
        <f t="shared" si="7"/>
        <v>0.87760000000000005</v>
      </c>
      <c r="O26" s="2">
        <f t="shared" si="7"/>
        <v>0.87339999999999995</v>
      </c>
      <c r="P26" s="2">
        <f t="shared" si="7"/>
        <v>0.86919999999999997</v>
      </c>
      <c r="Q26" s="5">
        <v>0.86499999999999999</v>
      </c>
      <c r="R26" s="2">
        <f t="shared" si="8"/>
        <v>0.85919999999999996</v>
      </c>
      <c r="S26" s="2">
        <f t="shared" si="8"/>
        <v>0.85339999999999994</v>
      </c>
      <c r="T26" s="2">
        <f t="shared" si="8"/>
        <v>0.84760000000000002</v>
      </c>
      <c r="U26" s="2">
        <f t="shared" si="8"/>
        <v>0.84179999999999999</v>
      </c>
      <c r="V26" s="5">
        <v>0.83599999999999997</v>
      </c>
      <c r="W26" s="2">
        <f t="shared" si="9"/>
        <v>0.8306</v>
      </c>
      <c r="X26" s="2">
        <f t="shared" si="9"/>
        <v>0.82520000000000004</v>
      </c>
      <c r="Y26" s="2">
        <f t="shared" si="9"/>
        <v>0.81979999999999997</v>
      </c>
      <c r="Z26" s="2">
        <f t="shared" si="9"/>
        <v>0.81440000000000001</v>
      </c>
      <c r="AA26" s="5">
        <v>0.80900000000000005</v>
      </c>
      <c r="AB26" s="2">
        <f t="shared" si="10"/>
        <v>0.79880000000000007</v>
      </c>
      <c r="AC26" s="2">
        <f t="shared" si="10"/>
        <v>0.78860000000000008</v>
      </c>
      <c r="AD26" s="2">
        <f t="shared" si="10"/>
        <v>0.77839999999999998</v>
      </c>
      <c r="AE26" s="2">
        <f t="shared" si="10"/>
        <v>0.76819999999999999</v>
      </c>
      <c r="AF26" s="5">
        <v>0.75800000000000001</v>
      </c>
    </row>
    <row r="27" spans="1:32">
      <c r="A27" s="12">
        <f t="shared" si="5"/>
        <v>950</v>
      </c>
      <c r="B27" s="5">
        <v>0.91800000000000004</v>
      </c>
      <c r="C27" s="2">
        <f t="shared" si="6"/>
        <v>0.91420000000000001</v>
      </c>
      <c r="D27" s="2">
        <f t="shared" si="6"/>
        <v>0.91039999999999999</v>
      </c>
      <c r="E27" s="2">
        <f t="shared" si="6"/>
        <v>0.90660000000000007</v>
      </c>
      <c r="F27" s="2">
        <f t="shared" si="6"/>
        <v>0.90280000000000005</v>
      </c>
      <c r="G27" s="2">
        <f t="shared" si="6"/>
        <v>0.89900000000000002</v>
      </c>
      <c r="H27" s="2">
        <f t="shared" si="6"/>
        <v>0.8952</v>
      </c>
      <c r="I27" s="2">
        <f t="shared" si="6"/>
        <v>0.89139999999999997</v>
      </c>
      <c r="J27" s="2">
        <f t="shared" si="6"/>
        <v>0.88760000000000006</v>
      </c>
      <c r="K27" s="2">
        <f t="shared" si="6"/>
        <v>0.88380000000000003</v>
      </c>
      <c r="L27" s="5">
        <v>0.88</v>
      </c>
      <c r="M27" s="2">
        <f t="shared" si="7"/>
        <v>0.87580000000000002</v>
      </c>
      <c r="N27" s="2">
        <f t="shared" si="7"/>
        <v>0.87160000000000004</v>
      </c>
      <c r="O27" s="2">
        <f t="shared" si="7"/>
        <v>0.86739999999999995</v>
      </c>
      <c r="P27" s="2">
        <f t="shared" si="7"/>
        <v>0.86319999999999997</v>
      </c>
      <c r="Q27" s="5">
        <v>0.85899999999999999</v>
      </c>
      <c r="R27" s="2">
        <f t="shared" si="8"/>
        <v>0.8528</v>
      </c>
      <c r="S27" s="2">
        <f t="shared" si="8"/>
        <v>0.84660000000000002</v>
      </c>
      <c r="T27" s="2">
        <f t="shared" si="8"/>
        <v>0.84039999999999992</v>
      </c>
      <c r="U27" s="2">
        <f t="shared" si="8"/>
        <v>0.83419999999999994</v>
      </c>
      <c r="V27" s="5">
        <v>0.82799999999999996</v>
      </c>
      <c r="W27" s="2">
        <f t="shared" si="9"/>
        <v>0.82140000000000002</v>
      </c>
      <c r="X27" s="2">
        <f t="shared" si="9"/>
        <v>0.81479999999999997</v>
      </c>
      <c r="Y27" s="2">
        <f t="shared" si="9"/>
        <v>0.80820000000000003</v>
      </c>
      <c r="Z27" s="2">
        <f t="shared" si="9"/>
        <v>0.80159999999999998</v>
      </c>
      <c r="AA27" s="5">
        <v>0.79500000000000004</v>
      </c>
      <c r="AB27" s="2">
        <f t="shared" si="10"/>
        <v>0.78420000000000001</v>
      </c>
      <c r="AC27" s="2">
        <f t="shared" si="10"/>
        <v>0.77339999999999998</v>
      </c>
      <c r="AD27" s="2">
        <f t="shared" si="10"/>
        <v>0.76260000000000006</v>
      </c>
      <c r="AE27" s="2">
        <f t="shared" si="10"/>
        <v>0.75180000000000002</v>
      </c>
      <c r="AF27" s="5">
        <v>0.74099999999999999</v>
      </c>
    </row>
    <row r="28" spans="1:32">
      <c r="A28" s="12">
        <f t="shared" si="5"/>
        <v>1000</v>
      </c>
      <c r="B28" s="5">
        <v>0.91300000000000003</v>
      </c>
      <c r="C28" s="2">
        <f t="shared" si="6"/>
        <v>0.90880000000000005</v>
      </c>
      <c r="D28" s="2">
        <f t="shared" si="6"/>
        <v>0.90460000000000007</v>
      </c>
      <c r="E28" s="2">
        <f t="shared" si="6"/>
        <v>0.90039999999999998</v>
      </c>
      <c r="F28" s="2">
        <f t="shared" si="6"/>
        <v>0.8962</v>
      </c>
      <c r="G28" s="2">
        <f t="shared" si="6"/>
        <v>0.89200000000000002</v>
      </c>
      <c r="H28" s="2">
        <f t="shared" si="6"/>
        <v>0.88780000000000003</v>
      </c>
      <c r="I28" s="2">
        <f t="shared" si="6"/>
        <v>0.88360000000000005</v>
      </c>
      <c r="J28" s="2">
        <f t="shared" si="6"/>
        <v>0.87939999999999996</v>
      </c>
      <c r="K28" s="2">
        <f t="shared" si="6"/>
        <v>0.87519999999999998</v>
      </c>
      <c r="L28" s="5">
        <v>0.871</v>
      </c>
      <c r="M28" s="2">
        <f t="shared" si="7"/>
        <v>0.86699999999999999</v>
      </c>
      <c r="N28" s="2">
        <f t="shared" si="7"/>
        <v>0.86299999999999999</v>
      </c>
      <c r="O28" s="2">
        <f t="shared" si="7"/>
        <v>0.85899999999999999</v>
      </c>
      <c r="P28" s="2">
        <f t="shared" si="7"/>
        <v>0.85499999999999998</v>
      </c>
      <c r="Q28" s="5">
        <v>0.85099999999999998</v>
      </c>
      <c r="R28" s="2">
        <f t="shared" si="8"/>
        <v>0.84460000000000002</v>
      </c>
      <c r="S28" s="2">
        <f t="shared" si="8"/>
        <v>0.83819999999999995</v>
      </c>
      <c r="T28" s="2">
        <f t="shared" si="8"/>
        <v>0.83179999999999998</v>
      </c>
      <c r="U28" s="2">
        <f t="shared" si="8"/>
        <v>0.82539999999999991</v>
      </c>
      <c r="V28" s="5">
        <v>0.81899999999999995</v>
      </c>
      <c r="W28" s="2">
        <f t="shared" si="9"/>
        <v>0.81199999999999994</v>
      </c>
      <c r="X28" s="2">
        <f t="shared" si="9"/>
        <v>0.80499999999999994</v>
      </c>
      <c r="Y28" s="2">
        <f t="shared" si="9"/>
        <v>0.79800000000000004</v>
      </c>
      <c r="Z28" s="2">
        <f t="shared" si="9"/>
        <v>0.79100000000000004</v>
      </c>
      <c r="AA28" s="5">
        <v>0.78400000000000003</v>
      </c>
      <c r="AB28" s="2">
        <f t="shared" si="10"/>
        <v>0.77239999999999998</v>
      </c>
      <c r="AC28" s="2">
        <f t="shared" si="10"/>
        <v>0.76080000000000003</v>
      </c>
      <c r="AD28" s="2">
        <f t="shared" si="10"/>
        <v>0.74919999999999998</v>
      </c>
      <c r="AE28" s="2">
        <f t="shared" si="10"/>
        <v>0.73760000000000003</v>
      </c>
      <c r="AF28" s="5">
        <v>0.72599999999999998</v>
      </c>
    </row>
    <row r="29" spans="1:32">
      <c r="A29" s="12">
        <f t="shared" si="5"/>
        <v>1050</v>
      </c>
      <c r="B29" s="5">
        <v>0.90900000000000003</v>
      </c>
      <c r="C29" s="2">
        <f t="shared" si="6"/>
        <v>0.90460000000000007</v>
      </c>
      <c r="D29" s="2">
        <f t="shared" si="6"/>
        <v>0.9002</v>
      </c>
      <c r="E29" s="2">
        <f t="shared" si="6"/>
        <v>0.89580000000000004</v>
      </c>
      <c r="F29" s="2">
        <f t="shared" si="6"/>
        <v>0.89139999999999997</v>
      </c>
      <c r="G29" s="2">
        <f t="shared" si="6"/>
        <v>0.88700000000000001</v>
      </c>
      <c r="H29" s="2">
        <f t="shared" si="6"/>
        <v>0.88260000000000005</v>
      </c>
      <c r="I29" s="2">
        <f t="shared" si="6"/>
        <v>0.87819999999999998</v>
      </c>
      <c r="J29" s="2">
        <f t="shared" si="6"/>
        <v>0.87380000000000002</v>
      </c>
      <c r="K29" s="2">
        <f t="shared" si="6"/>
        <v>0.86939999999999995</v>
      </c>
      <c r="L29" s="5">
        <v>0.86499999999999999</v>
      </c>
      <c r="M29" s="2">
        <f t="shared" si="7"/>
        <v>0.86</v>
      </c>
      <c r="N29" s="2">
        <f t="shared" si="7"/>
        <v>0.85499999999999998</v>
      </c>
      <c r="O29" s="2">
        <f t="shared" si="7"/>
        <v>0.85</v>
      </c>
      <c r="P29" s="2">
        <f t="shared" si="7"/>
        <v>0.84499999999999997</v>
      </c>
      <c r="Q29" s="5">
        <v>0.84</v>
      </c>
      <c r="R29" s="2">
        <f t="shared" si="8"/>
        <v>0.83399999999999996</v>
      </c>
      <c r="S29" s="2">
        <f t="shared" si="8"/>
        <v>0.82799999999999996</v>
      </c>
      <c r="T29" s="2">
        <f t="shared" si="8"/>
        <v>0.82200000000000006</v>
      </c>
      <c r="U29" s="2">
        <f t="shared" si="8"/>
        <v>0.81600000000000006</v>
      </c>
      <c r="V29" s="5">
        <v>0.81</v>
      </c>
      <c r="W29" s="2">
        <f t="shared" si="9"/>
        <v>0.80280000000000007</v>
      </c>
      <c r="X29" s="2">
        <f t="shared" si="9"/>
        <v>0.79560000000000008</v>
      </c>
      <c r="Y29" s="2">
        <f t="shared" si="9"/>
        <v>0.78839999999999999</v>
      </c>
      <c r="Z29" s="2">
        <f t="shared" si="9"/>
        <v>0.78120000000000001</v>
      </c>
      <c r="AA29" s="5">
        <v>0.77400000000000002</v>
      </c>
      <c r="AB29" s="2">
        <f t="shared" si="10"/>
        <v>0.76200000000000001</v>
      </c>
      <c r="AC29" s="2">
        <f t="shared" si="10"/>
        <v>0.75</v>
      </c>
      <c r="AD29" s="2">
        <f t="shared" si="10"/>
        <v>0.73799999999999999</v>
      </c>
      <c r="AE29" s="2">
        <f t="shared" si="10"/>
        <v>0.72599999999999998</v>
      </c>
      <c r="AF29" s="5">
        <v>0.71399999999999997</v>
      </c>
    </row>
    <row r="30" spans="1:32">
      <c r="A30" s="12">
        <f t="shared" si="5"/>
        <v>1100</v>
      </c>
      <c r="B30" s="5">
        <v>0.90400000000000003</v>
      </c>
      <c r="C30" s="2">
        <f t="shared" si="6"/>
        <v>0.89960000000000007</v>
      </c>
      <c r="D30" s="2">
        <f t="shared" si="6"/>
        <v>0.8952</v>
      </c>
      <c r="E30" s="2">
        <f t="shared" si="6"/>
        <v>0.89080000000000004</v>
      </c>
      <c r="F30" s="2">
        <f t="shared" si="6"/>
        <v>0.88639999999999997</v>
      </c>
      <c r="G30" s="2">
        <f t="shared" si="6"/>
        <v>0.88200000000000001</v>
      </c>
      <c r="H30" s="2">
        <f t="shared" si="6"/>
        <v>0.87760000000000005</v>
      </c>
      <c r="I30" s="2">
        <f t="shared" si="6"/>
        <v>0.87319999999999998</v>
      </c>
      <c r="J30" s="2">
        <f t="shared" si="6"/>
        <v>0.86880000000000002</v>
      </c>
      <c r="K30" s="2">
        <f t="shared" si="6"/>
        <v>0.86439999999999995</v>
      </c>
      <c r="L30" s="5">
        <v>0.86</v>
      </c>
      <c r="M30" s="2">
        <f t="shared" si="7"/>
        <v>0.8548</v>
      </c>
      <c r="N30" s="2">
        <f t="shared" si="7"/>
        <v>0.84960000000000002</v>
      </c>
      <c r="O30" s="2">
        <f t="shared" si="7"/>
        <v>0.84439999999999993</v>
      </c>
      <c r="P30" s="2">
        <f t="shared" si="7"/>
        <v>0.83919999999999995</v>
      </c>
      <c r="Q30" s="5">
        <v>0.83399999999999996</v>
      </c>
      <c r="R30" s="2">
        <f t="shared" si="8"/>
        <v>0.82740000000000002</v>
      </c>
      <c r="S30" s="2">
        <f t="shared" si="8"/>
        <v>0.82079999999999997</v>
      </c>
      <c r="T30" s="2">
        <f t="shared" si="8"/>
        <v>0.81420000000000003</v>
      </c>
      <c r="U30" s="2">
        <f t="shared" si="8"/>
        <v>0.80759999999999998</v>
      </c>
      <c r="V30" s="5">
        <v>0.80100000000000005</v>
      </c>
      <c r="W30" s="2">
        <f t="shared" si="9"/>
        <v>0.79300000000000004</v>
      </c>
      <c r="X30" s="2">
        <f t="shared" si="9"/>
        <v>0.78500000000000003</v>
      </c>
      <c r="Y30" s="2">
        <f t="shared" si="9"/>
        <v>0.77700000000000002</v>
      </c>
      <c r="Z30" s="2">
        <f t="shared" si="9"/>
        <v>0.76900000000000002</v>
      </c>
      <c r="AA30" s="5">
        <v>0.76100000000000001</v>
      </c>
      <c r="AB30" s="2">
        <f t="shared" si="10"/>
        <v>0.749</v>
      </c>
      <c r="AC30" s="2">
        <f t="shared" si="10"/>
        <v>0.73699999999999999</v>
      </c>
      <c r="AD30" s="2">
        <f t="shared" si="10"/>
        <v>0.72499999999999998</v>
      </c>
      <c r="AE30" s="2">
        <f t="shared" si="10"/>
        <v>0.71299999999999997</v>
      </c>
      <c r="AF30" s="5">
        <v>0.70099999999999996</v>
      </c>
    </row>
    <row r="31" spans="1:32">
      <c r="A31" s="12">
        <f t="shared" si="5"/>
        <v>1150</v>
      </c>
      <c r="B31" s="5">
        <v>0.9</v>
      </c>
      <c r="C31" s="2">
        <f t="shared" si="6"/>
        <v>0.89549999999999996</v>
      </c>
      <c r="D31" s="2">
        <f t="shared" si="6"/>
        <v>0.89100000000000001</v>
      </c>
      <c r="E31" s="2">
        <f t="shared" si="6"/>
        <v>0.88650000000000007</v>
      </c>
      <c r="F31" s="2">
        <f t="shared" si="6"/>
        <v>0.88200000000000001</v>
      </c>
      <c r="G31" s="2">
        <f t="shared" si="6"/>
        <v>0.87749999999999995</v>
      </c>
      <c r="H31" s="2">
        <f t="shared" si="6"/>
        <v>0.873</v>
      </c>
      <c r="I31" s="2">
        <f t="shared" si="6"/>
        <v>0.86850000000000005</v>
      </c>
      <c r="J31" s="2">
        <f t="shared" si="6"/>
        <v>0.86399999999999999</v>
      </c>
      <c r="K31" s="2">
        <f t="shared" si="6"/>
        <v>0.85949999999999993</v>
      </c>
      <c r="L31" s="5">
        <v>0.85499999999999998</v>
      </c>
      <c r="M31" s="2">
        <f t="shared" si="7"/>
        <v>0.8498</v>
      </c>
      <c r="N31" s="2">
        <f t="shared" si="7"/>
        <v>0.84460000000000002</v>
      </c>
      <c r="O31" s="2">
        <f t="shared" si="7"/>
        <v>0.83939999999999992</v>
      </c>
      <c r="P31" s="2">
        <f t="shared" si="7"/>
        <v>0.83419999999999994</v>
      </c>
      <c r="Q31" s="5">
        <v>0.82899999999999996</v>
      </c>
      <c r="R31" s="2">
        <f t="shared" si="8"/>
        <v>0.8216</v>
      </c>
      <c r="S31" s="2">
        <f t="shared" si="8"/>
        <v>0.81420000000000003</v>
      </c>
      <c r="T31" s="2">
        <f t="shared" si="8"/>
        <v>0.80679999999999996</v>
      </c>
      <c r="U31" s="2">
        <f t="shared" si="8"/>
        <v>0.7994</v>
      </c>
      <c r="V31" s="5">
        <v>0.79200000000000004</v>
      </c>
      <c r="W31" s="2">
        <f t="shared" si="9"/>
        <v>0.78400000000000003</v>
      </c>
      <c r="X31" s="2">
        <f t="shared" si="9"/>
        <v>0.77600000000000002</v>
      </c>
      <c r="Y31" s="2">
        <f t="shared" si="9"/>
        <v>0.76800000000000002</v>
      </c>
      <c r="Z31" s="2">
        <f t="shared" si="9"/>
        <v>0.76</v>
      </c>
      <c r="AA31" s="5">
        <v>0.752</v>
      </c>
      <c r="AB31" s="2">
        <f t="shared" si="10"/>
        <v>0.73939999999999995</v>
      </c>
      <c r="AC31" s="2">
        <f t="shared" si="10"/>
        <v>0.7268</v>
      </c>
      <c r="AD31" s="2">
        <f t="shared" si="10"/>
        <v>0.71419999999999995</v>
      </c>
      <c r="AE31" s="2">
        <f t="shared" si="10"/>
        <v>0.7016</v>
      </c>
      <c r="AF31" s="5">
        <v>0.68899999999999995</v>
      </c>
    </row>
    <row r="32" spans="1:32">
      <c r="A32" s="12">
        <f t="shared" si="5"/>
        <v>1200</v>
      </c>
      <c r="B32" s="5">
        <v>0.89500000000000002</v>
      </c>
      <c r="C32" s="2">
        <f t="shared" si="6"/>
        <v>0.89050000000000007</v>
      </c>
      <c r="D32" s="2">
        <f t="shared" si="6"/>
        <v>0.88600000000000001</v>
      </c>
      <c r="E32" s="2">
        <f t="shared" si="6"/>
        <v>0.88149999999999995</v>
      </c>
      <c r="F32" s="2">
        <f t="shared" si="6"/>
        <v>0.877</v>
      </c>
      <c r="G32" s="2">
        <f t="shared" si="6"/>
        <v>0.87249999999999994</v>
      </c>
      <c r="H32" s="2">
        <f t="shared" si="6"/>
        <v>0.86799999999999999</v>
      </c>
      <c r="I32" s="2">
        <f t="shared" si="6"/>
        <v>0.86349999999999993</v>
      </c>
      <c r="J32" s="2">
        <f t="shared" si="6"/>
        <v>0.85899999999999999</v>
      </c>
      <c r="K32" s="2">
        <f t="shared" si="6"/>
        <v>0.85450000000000004</v>
      </c>
      <c r="L32" s="5">
        <v>0.85</v>
      </c>
      <c r="M32" s="2">
        <f t="shared" si="7"/>
        <v>0.84460000000000002</v>
      </c>
      <c r="N32" s="2">
        <f t="shared" si="7"/>
        <v>0.83919999999999995</v>
      </c>
      <c r="O32" s="2">
        <f t="shared" si="7"/>
        <v>0.83379999999999999</v>
      </c>
      <c r="P32" s="2">
        <f t="shared" si="7"/>
        <v>0.82839999999999991</v>
      </c>
      <c r="Q32" s="5">
        <v>0.82299999999999995</v>
      </c>
      <c r="R32" s="2">
        <f t="shared" si="8"/>
        <v>0.81559999999999999</v>
      </c>
      <c r="S32" s="2">
        <f t="shared" si="8"/>
        <v>0.80820000000000003</v>
      </c>
      <c r="T32" s="2">
        <f t="shared" si="8"/>
        <v>0.80079999999999996</v>
      </c>
      <c r="U32" s="2">
        <f t="shared" si="8"/>
        <v>0.79339999999999999</v>
      </c>
      <c r="V32" s="5">
        <v>0.78600000000000003</v>
      </c>
      <c r="W32" s="2">
        <f t="shared" si="9"/>
        <v>0.77760000000000007</v>
      </c>
      <c r="X32" s="2">
        <f t="shared" si="9"/>
        <v>0.76919999999999999</v>
      </c>
      <c r="Y32" s="2">
        <f t="shared" si="9"/>
        <v>0.76080000000000003</v>
      </c>
      <c r="Z32" s="2">
        <f t="shared" si="9"/>
        <v>0.75239999999999996</v>
      </c>
      <c r="AA32" s="5">
        <v>0.74399999999999999</v>
      </c>
      <c r="AB32" s="2">
        <f t="shared" si="10"/>
        <v>0.73040000000000005</v>
      </c>
      <c r="AC32" s="2">
        <f t="shared" si="10"/>
        <v>0.71679999999999999</v>
      </c>
      <c r="AD32" s="2">
        <f t="shared" si="10"/>
        <v>0.70320000000000005</v>
      </c>
      <c r="AE32" s="2">
        <f t="shared" si="10"/>
        <v>0.68959999999999999</v>
      </c>
      <c r="AF32" s="5">
        <v>0.67600000000000005</v>
      </c>
    </row>
    <row r="33" spans="1:32">
      <c r="A33" s="12">
        <f>A32+50</f>
        <v>1250</v>
      </c>
      <c r="B33" s="5">
        <v>0.89</v>
      </c>
      <c r="C33" s="2">
        <f t="shared" si="6"/>
        <v>0.88549999999999995</v>
      </c>
      <c r="D33" s="2">
        <f t="shared" si="6"/>
        <v>0.88100000000000001</v>
      </c>
      <c r="E33" s="2">
        <f t="shared" si="6"/>
        <v>0.87650000000000006</v>
      </c>
      <c r="F33" s="2">
        <f t="shared" si="6"/>
        <v>0.872</v>
      </c>
      <c r="G33" s="2">
        <f t="shared" si="6"/>
        <v>0.86749999999999994</v>
      </c>
      <c r="H33" s="2">
        <f t="shared" si="6"/>
        <v>0.86299999999999999</v>
      </c>
      <c r="I33" s="2">
        <f t="shared" si="6"/>
        <v>0.85850000000000004</v>
      </c>
      <c r="J33" s="2">
        <f t="shared" si="6"/>
        <v>0.85399999999999998</v>
      </c>
      <c r="K33" s="2">
        <f t="shared" si="6"/>
        <v>0.84949999999999992</v>
      </c>
      <c r="L33" s="5">
        <v>0.84499999999999997</v>
      </c>
      <c r="M33" s="2">
        <f t="shared" si="7"/>
        <v>0.83979999999999999</v>
      </c>
      <c r="N33" s="2">
        <f t="shared" si="7"/>
        <v>0.83460000000000001</v>
      </c>
      <c r="O33" s="2">
        <f t="shared" si="7"/>
        <v>0.82939999999999992</v>
      </c>
      <c r="P33" s="2">
        <f t="shared" si="7"/>
        <v>0.82419999999999993</v>
      </c>
      <c r="Q33" s="5">
        <v>0.81899999999999995</v>
      </c>
      <c r="R33" s="2">
        <f t="shared" si="8"/>
        <v>0.81119999999999992</v>
      </c>
      <c r="S33" s="2">
        <f t="shared" si="8"/>
        <v>0.8034</v>
      </c>
      <c r="T33" s="2">
        <f t="shared" si="8"/>
        <v>0.79559999999999997</v>
      </c>
      <c r="U33" s="2">
        <f t="shared" si="8"/>
        <v>0.78780000000000006</v>
      </c>
      <c r="V33" s="5">
        <v>0.78</v>
      </c>
      <c r="W33" s="2">
        <f t="shared" si="9"/>
        <v>0.77180000000000004</v>
      </c>
      <c r="X33" s="2">
        <f t="shared" si="9"/>
        <v>0.76360000000000006</v>
      </c>
      <c r="Y33" s="2">
        <f t="shared" si="9"/>
        <v>0.75539999999999996</v>
      </c>
      <c r="Z33" s="2">
        <f t="shared" si="9"/>
        <v>0.74719999999999998</v>
      </c>
      <c r="AA33" s="5">
        <v>0.73899999999999999</v>
      </c>
      <c r="AB33" s="2">
        <f t="shared" si="10"/>
        <v>0.72460000000000002</v>
      </c>
      <c r="AC33" s="2">
        <f t="shared" si="10"/>
        <v>0.71020000000000005</v>
      </c>
      <c r="AD33" s="2">
        <f t="shared" si="10"/>
        <v>0.69579999999999997</v>
      </c>
      <c r="AE33" s="2">
        <f t="shared" si="10"/>
        <v>0.68140000000000001</v>
      </c>
      <c r="AF33" s="5">
        <v>0.66700000000000004</v>
      </c>
    </row>
    <row r="41" spans="1:32">
      <c r="A41" t="s">
        <v>14</v>
      </c>
    </row>
    <row r="43" spans="1:32">
      <c r="A43">
        <v>150</v>
      </c>
      <c r="C43" t="s">
        <v>6</v>
      </c>
      <c r="G43">
        <v>95</v>
      </c>
      <c r="I43" t="s">
        <v>23</v>
      </c>
      <c r="M43">
        <v>40</v>
      </c>
      <c r="O43" t="s">
        <v>32</v>
      </c>
    </row>
    <row r="44" spans="1:32">
      <c r="A44">
        <f t="shared" ref="A44:A53" si="11">A43-5</f>
        <v>145</v>
      </c>
      <c r="C44" t="s">
        <v>15</v>
      </c>
      <c r="G44">
        <f t="shared" ref="G44:G53" si="12">G43-5</f>
        <v>90</v>
      </c>
      <c r="I44" t="s">
        <v>24</v>
      </c>
      <c r="M44">
        <f t="shared" ref="M44:M51" si="13">M43-5</f>
        <v>35</v>
      </c>
      <c r="O44" t="s">
        <v>33</v>
      </c>
    </row>
    <row r="45" spans="1:32">
      <c r="A45">
        <f t="shared" si="11"/>
        <v>140</v>
      </c>
      <c r="C45" t="s">
        <v>16</v>
      </c>
      <c r="G45">
        <f t="shared" si="12"/>
        <v>85</v>
      </c>
      <c r="I45" t="s">
        <v>25</v>
      </c>
      <c r="M45">
        <f t="shared" si="13"/>
        <v>30</v>
      </c>
      <c r="O45" t="s">
        <v>34</v>
      </c>
    </row>
    <row r="46" spans="1:32">
      <c r="A46">
        <f t="shared" si="11"/>
        <v>135</v>
      </c>
      <c r="C46" t="s">
        <v>17</v>
      </c>
      <c r="G46">
        <f t="shared" si="12"/>
        <v>80</v>
      </c>
      <c r="I46" t="s">
        <v>26</v>
      </c>
      <c r="M46">
        <f t="shared" si="13"/>
        <v>25</v>
      </c>
      <c r="O46" t="s">
        <v>10</v>
      </c>
    </row>
    <row r="47" spans="1:32">
      <c r="A47">
        <f t="shared" si="11"/>
        <v>130</v>
      </c>
      <c r="C47" t="s">
        <v>18</v>
      </c>
      <c r="G47">
        <f t="shared" si="12"/>
        <v>75</v>
      </c>
      <c r="I47" t="s">
        <v>8</v>
      </c>
      <c r="M47">
        <f t="shared" si="13"/>
        <v>20</v>
      </c>
      <c r="O47" t="s">
        <v>35</v>
      </c>
    </row>
    <row r="48" spans="1:32">
      <c r="A48">
        <f t="shared" si="11"/>
        <v>125</v>
      </c>
      <c r="C48" t="s">
        <v>13</v>
      </c>
      <c r="G48">
        <f t="shared" si="12"/>
        <v>70</v>
      </c>
      <c r="I48" t="s">
        <v>27</v>
      </c>
      <c r="M48">
        <f t="shared" si="13"/>
        <v>15</v>
      </c>
      <c r="O48" t="s">
        <v>36</v>
      </c>
    </row>
    <row r="49" spans="1:15">
      <c r="A49">
        <f t="shared" si="11"/>
        <v>120</v>
      </c>
      <c r="C49" t="s">
        <v>19</v>
      </c>
      <c r="G49">
        <f t="shared" si="12"/>
        <v>65</v>
      </c>
      <c r="I49" t="s">
        <v>28</v>
      </c>
      <c r="M49">
        <f t="shared" si="13"/>
        <v>10</v>
      </c>
      <c r="O49" t="s">
        <v>37</v>
      </c>
    </row>
    <row r="50" spans="1:15">
      <c r="A50">
        <f t="shared" si="11"/>
        <v>115</v>
      </c>
      <c r="C50" t="s">
        <v>20</v>
      </c>
      <c r="G50">
        <f t="shared" si="12"/>
        <v>60</v>
      </c>
      <c r="I50" t="s">
        <v>29</v>
      </c>
      <c r="M50">
        <f t="shared" si="13"/>
        <v>5</v>
      </c>
      <c r="O50" t="s">
        <v>38</v>
      </c>
    </row>
    <row r="51" spans="1:15">
      <c r="A51">
        <f t="shared" si="11"/>
        <v>110</v>
      </c>
      <c r="C51" t="s">
        <v>21</v>
      </c>
      <c r="G51">
        <f t="shared" si="12"/>
        <v>55</v>
      </c>
      <c r="I51" t="s">
        <v>30</v>
      </c>
      <c r="M51">
        <f t="shared" si="13"/>
        <v>0</v>
      </c>
      <c r="O51" t="s">
        <v>11</v>
      </c>
    </row>
    <row r="52" spans="1:15">
      <c r="A52">
        <f t="shared" si="11"/>
        <v>105</v>
      </c>
      <c r="C52" t="s">
        <v>22</v>
      </c>
      <c r="G52">
        <f t="shared" si="12"/>
        <v>50</v>
      </c>
      <c r="I52" t="s">
        <v>9</v>
      </c>
    </row>
    <row r="53" spans="1:15">
      <c r="A53">
        <f t="shared" si="11"/>
        <v>100</v>
      </c>
      <c r="C53" t="s">
        <v>7</v>
      </c>
      <c r="G53">
        <f t="shared" si="12"/>
        <v>45</v>
      </c>
      <c r="I53" t="s">
        <v>31</v>
      </c>
    </row>
  </sheetData>
  <sheetProtection sheet="1" objects="1" scenarios="1"/>
  <mergeCells count="4">
    <mergeCell ref="A1:D3"/>
    <mergeCell ref="B5:N5"/>
    <mergeCell ref="O5:AF5"/>
    <mergeCell ref="G2:K3"/>
  </mergeCells>
  <phoneticPr fontId="1" type="noConversion"/>
  <pageMargins left="0.75" right="0.75" top="1" bottom="1" header="0.5" footer="0.5"/>
  <headerFooter alignWithMargins="0"/>
</worksheet>
</file>

<file path=xl/worksheets/sheet6.xml><?xml version="1.0" encoding="utf-8"?>
<worksheet xmlns="http://schemas.openxmlformats.org/spreadsheetml/2006/main" xmlns:r="http://schemas.openxmlformats.org/officeDocument/2006/relationships">
  <dimension ref="A1:AF53"/>
  <sheetViews>
    <sheetView topLeftCell="E41" workbookViewId="0">
      <selection activeCell="Y30" sqref="Y30"/>
    </sheetView>
  </sheetViews>
  <sheetFormatPr defaultRowHeight="12.75"/>
  <cols>
    <col min="1" max="1" width="16.140625" customWidth="1"/>
    <col min="2" max="32" width="11.28515625" customWidth="1"/>
  </cols>
  <sheetData>
    <row r="1" spans="1:32">
      <c r="A1" s="162" t="s">
        <v>5</v>
      </c>
      <c r="B1" s="162"/>
      <c r="C1" s="162"/>
      <c r="D1" s="162"/>
    </row>
    <row r="2" spans="1:32">
      <c r="A2" s="162"/>
      <c r="B2" s="162"/>
      <c r="C2" s="162"/>
      <c r="D2" s="162"/>
      <c r="G2" s="168" t="s">
        <v>71</v>
      </c>
      <c r="H2" s="169"/>
      <c r="I2" s="169"/>
      <c r="J2" s="169"/>
      <c r="K2" s="169"/>
    </row>
    <row r="3" spans="1:32">
      <c r="A3" s="162"/>
      <c r="B3" s="162"/>
      <c r="C3" s="162"/>
      <c r="D3" s="162"/>
      <c r="E3" s="6"/>
      <c r="F3" s="6"/>
      <c r="G3" s="169"/>
      <c r="H3" s="169"/>
      <c r="I3" s="169"/>
      <c r="J3" s="169"/>
      <c r="K3" s="169"/>
    </row>
    <row r="4" spans="1:32" ht="13.5" thickBot="1">
      <c r="A4" s="13"/>
      <c r="B4" s="6"/>
    </row>
    <row r="5" spans="1:32" ht="18.75" thickBot="1">
      <c r="A5" s="3"/>
      <c r="B5" s="163" t="s">
        <v>12</v>
      </c>
      <c r="C5" s="164"/>
      <c r="D5" s="164"/>
      <c r="E5" s="164"/>
      <c r="F5" s="164"/>
      <c r="G5" s="164"/>
      <c r="H5" s="164"/>
      <c r="I5" s="164"/>
      <c r="J5" s="164"/>
      <c r="K5" s="164"/>
      <c r="L5" s="164"/>
      <c r="M5" s="164"/>
      <c r="N5" s="165"/>
      <c r="O5" s="166" t="s">
        <v>12</v>
      </c>
      <c r="P5" s="166"/>
      <c r="Q5" s="166"/>
      <c r="R5" s="166"/>
      <c r="S5" s="166"/>
      <c r="T5" s="166"/>
      <c r="U5" s="166"/>
      <c r="V5" s="166"/>
      <c r="W5" s="166"/>
      <c r="X5" s="166"/>
      <c r="Y5" s="166"/>
      <c r="Z5" s="166"/>
      <c r="AA5" s="166"/>
      <c r="AB5" s="166"/>
      <c r="AC5" s="166"/>
      <c r="AD5" s="166"/>
      <c r="AE5" s="166"/>
      <c r="AF5" s="167"/>
    </row>
    <row r="6" spans="1:32">
      <c r="B6" s="4">
        <v>150</v>
      </c>
      <c r="C6" s="10">
        <f>B6-5</f>
        <v>145</v>
      </c>
      <c r="D6" s="10">
        <f t="shared" ref="D6:AF6" si="0">C6-5</f>
        <v>140</v>
      </c>
      <c r="E6" s="10">
        <f t="shared" si="0"/>
        <v>135</v>
      </c>
      <c r="F6" s="10">
        <f t="shared" si="0"/>
        <v>130</v>
      </c>
      <c r="G6" s="10">
        <f t="shared" si="0"/>
        <v>125</v>
      </c>
      <c r="H6" s="10">
        <f t="shared" si="0"/>
        <v>120</v>
      </c>
      <c r="I6" s="10">
        <f t="shared" si="0"/>
        <v>115</v>
      </c>
      <c r="J6" s="10">
        <f t="shared" si="0"/>
        <v>110</v>
      </c>
      <c r="K6" s="10">
        <f t="shared" si="0"/>
        <v>105</v>
      </c>
      <c r="L6" s="11">
        <f t="shared" si="0"/>
        <v>100</v>
      </c>
      <c r="M6" s="10">
        <f t="shared" si="0"/>
        <v>95</v>
      </c>
      <c r="N6" s="10">
        <f t="shared" si="0"/>
        <v>90</v>
      </c>
      <c r="O6" s="10">
        <f t="shared" si="0"/>
        <v>85</v>
      </c>
      <c r="P6" s="10">
        <f t="shared" si="0"/>
        <v>80</v>
      </c>
      <c r="Q6" s="11">
        <f t="shared" si="0"/>
        <v>75</v>
      </c>
      <c r="R6" s="10">
        <f t="shared" si="0"/>
        <v>70</v>
      </c>
      <c r="S6" s="10">
        <f t="shared" si="0"/>
        <v>65</v>
      </c>
      <c r="T6" s="10">
        <f t="shared" si="0"/>
        <v>60</v>
      </c>
      <c r="U6" s="10">
        <f t="shared" si="0"/>
        <v>55</v>
      </c>
      <c r="V6" s="11">
        <f t="shared" si="0"/>
        <v>50</v>
      </c>
      <c r="W6" s="10">
        <f t="shared" si="0"/>
        <v>45</v>
      </c>
      <c r="X6" s="10">
        <f t="shared" si="0"/>
        <v>40</v>
      </c>
      <c r="Y6" s="10">
        <f t="shared" si="0"/>
        <v>35</v>
      </c>
      <c r="Z6" s="10">
        <f t="shared" si="0"/>
        <v>30</v>
      </c>
      <c r="AA6" s="11">
        <f t="shared" si="0"/>
        <v>25</v>
      </c>
      <c r="AB6" s="10">
        <f t="shared" si="0"/>
        <v>20</v>
      </c>
      <c r="AC6" s="10">
        <f t="shared" si="0"/>
        <v>15</v>
      </c>
      <c r="AD6" s="11">
        <f>AC6-5</f>
        <v>10</v>
      </c>
      <c r="AE6" s="10">
        <f t="shared" si="0"/>
        <v>5</v>
      </c>
      <c r="AF6" s="10">
        <f t="shared" si="0"/>
        <v>0</v>
      </c>
    </row>
    <row r="7" spans="1:32" ht="12.75" customHeight="1">
      <c r="A7" s="1" t="s">
        <v>1</v>
      </c>
      <c r="B7" s="7" t="s">
        <v>3</v>
      </c>
      <c r="C7" s="9" t="s">
        <v>3</v>
      </c>
      <c r="D7" s="9" t="s">
        <v>3</v>
      </c>
      <c r="E7" s="9" t="s">
        <v>3</v>
      </c>
      <c r="F7" s="9" t="s">
        <v>3</v>
      </c>
      <c r="G7" s="9" t="s">
        <v>3</v>
      </c>
      <c r="H7" s="9" t="s">
        <v>3</v>
      </c>
      <c r="I7" s="9" t="s">
        <v>3</v>
      </c>
      <c r="J7" s="9" t="s">
        <v>3</v>
      </c>
      <c r="K7" s="9" t="s">
        <v>3</v>
      </c>
      <c r="L7" s="7" t="s">
        <v>3</v>
      </c>
      <c r="M7" s="9" t="s">
        <v>3</v>
      </c>
      <c r="N7" s="9" t="s">
        <v>3</v>
      </c>
      <c r="O7" s="9" t="s">
        <v>3</v>
      </c>
      <c r="P7" s="9" t="s">
        <v>3</v>
      </c>
      <c r="Q7" s="8" t="s">
        <v>3</v>
      </c>
      <c r="R7" s="9" t="s">
        <v>3</v>
      </c>
      <c r="S7" s="9" t="s">
        <v>3</v>
      </c>
      <c r="T7" s="9" t="s">
        <v>3</v>
      </c>
      <c r="U7" s="9" t="s">
        <v>3</v>
      </c>
      <c r="V7" s="5" t="s">
        <v>3</v>
      </c>
      <c r="W7" s="9" t="s">
        <v>3</v>
      </c>
      <c r="X7" s="9" t="s">
        <v>3</v>
      </c>
      <c r="Y7" s="9" t="s">
        <v>3</v>
      </c>
      <c r="Z7" s="9" t="s">
        <v>3</v>
      </c>
      <c r="AA7" s="5" t="s">
        <v>3</v>
      </c>
      <c r="AB7" s="9" t="s">
        <v>3</v>
      </c>
      <c r="AC7" s="9" t="s">
        <v>3</v>
      </c>
      <c r="AD7" s="5" t="s">
        <v>3</v>
      </c>
      <c r="AE7" s="9" t="s">
        <v>3</v>
      </c>
      <c r="AF7" s="9" t="s">
        <v>3</v>
      </c>
    </row>
    <row r="8" spans="1:32">
      <c r="A8" s="12">
        <v>0</v>
      </c>
      <c r="B8" s="5">
        <v>1</v>
      </c>
      <c r="C8" s="2">
        <v>1</v>
      </c>
      <c r="D8" s="2">
        <v>1</v>
      </c>
      <c r="E8" s="2">
        <v>1</v>
      </c>
      <c r="F8" s="2">
        <v>1</v>
      </c>
      <c r="G8" s="2">
        <v>1</v>
      </c>
      <c r="H8" s="2">
        <v>1</v>
      </c>
      <c r="I8" s="2">
        <v>1</v>
      </c>
      <c r="J8" s="2">
        <v>1</v>
      </c>
      <c r="K8" s="2">
        <v>1</v>
      </c>
      <c r="L8" s="5">
        <v>1</v>
      </c>
      <c r="M8" s="2">
        <v>1</v>
      </c>
      <c r="N8" s="2">
        <v>1</v>
      </c>
      <c r="O8" s="2">
        <v>1</v>
      </c>
      <c r="P8" s="2">
        <v>1</v>
      </c>
      <c r="Q8" s="5">
        <v>1</v>
      </c>
      <c r="R8" s="2">
        <v>1</v>
      </c>
      <c r="S8" s="2">
        <v>1</v>
      </c>
      <c r="T8" s="2">
        <v>1</v>
      </c>
      <c r="U8" s="2">
        <v>1</v>
      </c>
      <c r="V8" s="5">
        <v>1</v>
      </c>
      <c r="W8" s="2">
        <v>1</v>
      </c>
      <c r="X8" s="2">
        <v>1</v>
      </c>
      <c r="Y8" s="2">
        <v>1</v>
      </c>
      <c r="Z8" s="2">
        <v>1</v>
      </c>
      <c r="AA8" s="5">
        <v>1</v>
      </c>
      <c r="AB8" s="2">
        <v>1</v>
      </c>
      <c r="AC8" s="2">
        <v>1</v>
      </c>
      <c r="AD8" s="5">
        <v>1</v>
      </c>
      <c r="AE8" s="2">
        <v>1</v>
      </c>
      <c r="AF8" s="14">
        <v>1</v>
      </c>
    </row>
    <row r="9" spans="1:32">
      <c r="A9" s="12">
        <f>A8+50</f>
        <v>50</v>
      </c>
      <c r="B9" s="5">
        <v>0.99099999999999999</v>
      </c>
      <c r="C9" s="2">
        <f>((C$6-$L$6)*($B9-$L9))/($B$6-$L$6) + $L9</f>
        <v>0.99060000000000004</v>
      </c>
      <c r="D9" s="2">
        <f>((D$6-$L$6)*($B9-$L9))/($B$6-$L$6) + $L9</f>
        <v>0.99019999999999997</v>
      </c>
      <c r="E9" s="2">
        <f t="shared" ref="E9:K24" si="1">((E$6-$L$6)*($B9-$L9))/($B$6-$L$6) + $L9</f>
        <v>0.98980000000000001</v>
      </c>
      <c r="F9" s="2">
        <f t="shared" si="1"/>
        <v>0.98939999999999995</v>
      </c>
      <c r="G9" s="2">
        <f t="shared" si="1"/>
        <v>0.98899999999999999</v>
      </c>
      <c r="H9" s="2">
        <f t="shared" si="1"/>
        <v>0.98860000000000003</v>
      </c>
      <c r="I9" s="2">
        <f t="shared" si="1"/>
        <v>0.98819999999999997</v>
      </c>
      <c r="J9" s="2">
        <f t="shared" si="1"/>
        <v>0.98780000000000001</v>
      </c>
      <c r="K9" s="2">
        <f t="shared" si="1"/>
        <v>0.98739999999999994</v>
      </c>
      <c r="L9" s="5">
        <v>0.98699999999999999</v>
      </c>
      <c r="M9" s="2">
        <f>((M$6-$Q$6)*($L9-$Q9))/($L$6-$Q$6) + $Q9</f>
        <v>0.98660000000000003</v>
      </c>
      <c r="N9" s="2">
        <f>((N$6-$Q$6)*($L9-$Q9))/($L$6-$Q$6) + $Q9</f>
        <v>0.98619999999999997</v>
      </c>
      <c r="O9" s="2">
        <f>((O$6-$Q$6)*($L9-$Q9))/($L$6-$Q$6) + $Q9</f>
        <v>0.98580000000000001</v>
      </c>
      <c r="P9" s="2">
        <f>((P$6-$Q$6)*($L9-$Q9))/($L$6-$Q$6) + $Q9</f>
        <v>0.98539999999999994</v>
      </c>
      <c r="Q9" s="5">
        <v>0.98499999999999999</v>
      </c>
      <c r="R9" s="2">
        <f>((R$6-$V$6)*($Q9-$V9))/($Q$6-$V$6) + $V9</f>
        <v>0.98439999999999994</v>
      </c>
      <c r="S9" s="2">
        <f t="shared" ref="S9:U24" si="2">((S$6-$V$6)*($Q9-$V9))/($Q$6-$V$6) + $V9</f>
        <v>0.98380000000000001</v>
      </c>
      <c r="T9" s="2">
        <f t="shared" si="2"/>
        <v>0.98319999999999996</v>
      </c>
      <c r="U9" s="2">
        <f t="shared" si="2"/>
        <v>0.98260000000000003</v>
      </c>
      <c r="V9" s="5">
        <v>0.98199999999999998</v>
      </c>
      <c r="W9" s="2">
        <f>((W$6-$AA$6)*($V9-$AA9))/($V$6-$AA$6) + $AA9</f>
        <v>0.98160000000000003</v>
      </c>
      <c r="X9" s="2">
        <f t="shared" ref="X9:Z24" si="3">((X$6-$AA$6)*($V9-$AA9))/($V$6-$AA$6) + $AA9</f>
        <v>0.98119999999999996</v>
      </c>
      <c r="Y9" s="2">
        <f t="shared" si="3"/>
        <v>0.98080000000000001</v>
      </c>
      <c r="Z9" s="2">
        <f t="shared" si="3"/>
        <v>0.98039999999999994</v>
      </c>
      <c r="AA9" s="5">
        <v>0.98</v>
      </c>
      <c r="AB9" s="2">
        <f>((AB$6-$AD$6)*($AA9-$AD9))/($AA$6-$AD$6) + $AD9</f>
        <v>0.97733333333333328</v>
      </c>
      <c r="AC9" s="2">
        <f>((AC$6-$AD$6)*($AA9-$AD9))/($AA$6-$AD$6) + $AD9</f>
        <v>0.97466666666666668</v>
      </c>
      <c r="AD9" s="5">
        <v>0.97199999999999998</v>
      </c>
      <c r="AE9" s="2">
        <f>((AE$6-$AD$6)*($AA9-$AD9))/($AA$6-$AD$6) + $AD9</f>
        <v>0.96933333333333327</v>
      </c>
      <c r="AF9" s="2">
        <f>((AF$6-$AD$6)*($AA9-$AD9))/($AA$6-$AD$6) + $AD9</f>
        <v>0.96666666666666667</v>
      </c>
    </row>
    <row r="10" spans="1:32">
      <c r="A10" s="12">
        <f t="shared" ref="A10:A32" si="4">A9+50</f>
        <v>100</v>
      </c>
      <c r="B10" s="5">
        <v>0.98599999999999999</v>
      </c>
      <c r="C10" s="2">
        <f t="shared" ref="C10:K33" si="5">((C$6-$L$6)*($B10-$L10))/($B$6-$L$6) + $L10</f>
        <v>0.98499999999999999</v>
      </c>
      <c r="D10" s="2">
        <f t="shared" si="5"/>
        <v>0.98399999999999999</v>
      </c>
      <c r="E10" s="2">
        <f t="shared" si="1"/>
        <v>0.98299999999999998</v>
      </c>
      <c r="F10" s="2">
        <f t="shared" si="1"/>
        <v>0.98199999999999998</v>
      </c>
      <c r="G10" s="2">
        <f t="shared" si="1"/>
        <v>0.98099999999999998</v>
      </c>
      <c r="H10" s="2">
        <f t="shared" si="1"/>
        <v>0.98</v>
      </c>
      <c r="I10" s="2">
        <f t="shared" si="1"/>
        <v>0.97899999999999998</v>
      </c>
      <c r="J10" s="2">
        <f t="shared" si="1"/>
        <v>0.97799999999999998</v>
      </c>
      <c r="K10" s="2">
        <f t="shared" si="1"/>
        <v>0.97699999999999998</v>
      </c>
      <c r="L10" s="5">
        <v>0.97599999999999998</v>
      </c>
      <c r="M10" s="2">
        <f t="shared" ref="M10:P33" si="6">((M$6-$Q$6)*($L10-$Q10))/($L$6-$Q$6) + $Q10</f>
        <v>0.9758</v>
      </c>
      <c r="N10" s="2">
        <f t="shared" si="6"/>
        <v>0.97560000000000002</v>
      </c>
      <c r="O10" s="2">
        <f t="shared" si="6"/>
        <v>0.97539999999999993</v>
      </c>
      <c r="P10" s="2">
        <f t="shared" si="6"/>
        <v>0.97519999999999996</v>
      </c>
      <c r="Q10" s="5">
        <v>0.97499999999999998</v>
      </c>
      <c r="R10" s="2">
        <f t="shared" ref="R10:U33" si="7">((R$6-$V$6)*($Q10-$V10))/($Q$6-$V$6) + $V10</f>
        <v>0.97499999999999998</v>
      </c>
      <c r="S10" s="2">
        <f t="shared" si="2"/>
        <v>0.97499999999999998</v>
      </c>
      <c r="T10" s="2">
        <f t="shared" si="2"/>
        <v>0.97499999999999998</v>
      </c>
      <c r="U10" s="2">
        <f t="shared" si="2"/>
        <v>0.97499999999999998</v>
      </c>
      <c r="V10" s="5">
        <v>0.97499999999999998</v>
      </c>
      <c r="W10" s="2">
        <f t="shared" ref="W10:Z33" si="8">((W$6-$AA$6)*($V10-$AA10))/($V$6-$AA$6) + $AA10</f>
        <v>0.97299999999999998</v>
      </c>
      <c r="X10" s="2">
        <f t="shared" si="3"/>
        <v>0.97099999999999997</v>
      </c>
      <c r="Y10" s="2">
        <f t="shared" si="3"/>
        <v>0.96899999999999997</v>
      </c>
      <c r="Z10" s="2">
        <f t="shared" si="3"/>
        <v>0.96699999999999997</v>
      </c>
      <c r="AA10" s="5">
        <v>0.96499999999999997</v>
      </c>
      <c r="AB10" s="2">
        <f t="shared" ref="AB10:AC33" si="9">((AB$6-$AD$6)*($AA10-$AD10))/($AA$6-$AD$6) + $AD10</f>
        <v>0.96166666666666667</v>
      </c>
      <c r="AC10" s="2">
        <f t="shared" si="9"/>
        <v>0.95833333333333326</v>
      </c>
      <c r="AD10" s="5">
        <v>0.95499999999999996</v>
      </c>
      <c r="AE10" s="2">
        <f t="shared" ref="AE10:AF33" si="10">((AE$6-$AD$6)*($AA10-$AD10))/($AA$6-$AD$6) + $AD10</f>
        <v>0.95166666666666666</v>
      </c>
      <c r="AF10" s="2">
        <f t="shared" si="10"/>
        <v>0.94833333333333325</v>
      </c>
    </row>
    <row r="11" spans="1:32">
      <c r="A11" s="12">
        <f t="shared" si="4"/>
        <v>150</v>
      </c>
      <c r="B11" s="5">
        <v>0.98</v>
      </c>
      <c r="C11" s="2">
        <f t="shared" si="5"/>
        <v>0.97899999999999998</v>
      </c>
      <c r="D11" s="2">
        <f t="shared" si="5"/>
        <v>0.97799999999999998</v>
      </c>
      <c r="E11" s="2">
        <f t="shared" si="1"/>
        <v>0.97699999999999998</v>
      </c>
      <c r="F11" s="2">
        <f t="shared" si="1"/>
        <v>0.97599999999999998</v>
      </c>
      <c r="G11" s="2">
        <f t="shared" si="1"/>
        <v>0.97499999999999998</v>
      </c>
      <c r="H11" s="2">
        <f t="shared" si="1"/>
        <v>0.97399999999999998</v>
      </c>
      <c r="I11" s="2">
        <f t="shared" si="1"/>
        <v>0.97299999999999998</v>
      </c>
      <c r="J11" s="2">
        <f t="shared" si="1"/>
        <v>0.97199999999999998</v>
      </c>
      <c r="K11" s="2">
        <f t="shared" si="1"/>
        <v>0.97099999999999997</v>
      </c>
      <c r="L11" s="5">
        <v>0.97</v>
      </c>
      <c r="M11" s="2">
        <f t="shared" si="6"/>
        <v>0.9698</v>
      </c>
      <c r="N11" s="2">
        <f t="shared" si="6"/>
        <v>0.96960000000000002</v>
      </c>
      <c r="O11" s="2">
        <f t="shared" si="6"/>
        <v>0.96939999999999993</v>
      </c>
      <c r="P11" s="2">
        <f t="shared" si="6"/>
        <v>0.96919999999999995</v>
      </c>
      <c r="Q11" s="5">
        <v>0.96899999999999997</v>
      </c>
      <c r="R11" s="2">
        <f t="shared" si="7"/>
        <v>0.96839999999999993</v>
      </c>
      <c r="S11" s="2">
        <f t="shared" si="2"/>
        <v>0.96779999999999999</v>
      </c>
      <c r="T11" s="2">
        <f t="shared" si="2"/>
        <v>0.96719999999999995</v>
      </c>
      <c r="U11" s="2">
        <f t="shared" si="2"/>
        <v>0.96660000000000001</v>
      </c>
      <c r="V11" s="5">
        <v>0.96599999999999997</v>
      </c>
      <c r="W11" s="2">
        <f t="shared" si="8"/>
        <v>0.96319999999999995</v>
      </c>
      <c r="X11" s="2">
        <f t="shared" si="3"/>
        <v>0.96039999999999992</v>
      </c>
      <c r="Y11" s="2">
        <f t="shared" si="3"/>
        <v>0.95760000000000001</v>
      </c>
      <c r="Z11" s="2">
        <f t="shared" si="3"/>
        <v>0.95479999999999998</v>
      </c>
      <c r="AA11" s="5">
        <v>0.95199999999999996</v>
      </c>
      <c r="AB11" s="2">
        <f t="shared" si="9"/>
        <v>0.94799999999999995</v>
      </c>
      <c r="AC11" s="2">
        <f t="shared" si="9"/>
        <v>0.94399999999999995</v>
      </c>
      <c r="AD11" s="5">
        <v>0.94</v>
      </c>
      <c r="AE11" s="2">
        <f t="shared" si="10"/>
        <v>0.93599999999999994</v>
      </c>
      <c r="AF11" s="2">
        <f t="shared" si="10"/>
        <v>0.93199999999999994</v>
      </c>
    </row>
    <row r="12" spans="1:32">
      <c r="A12" s="12">
        <f t="shared" si="4"/>
        <v>200</v>
      </c>
      <c r="B12" s="5">
        <v>0.97399999999999998</v>
      </c>
      <c r="C12" s="2">
        <f t="shared" si="5"/>
        <v>0.97270000000000001</v>
      </c>
      <c r="D12" s="2">
        <f t="shared" si="5"/>
        <v>0.97139999999999993</v>
      </c>
      <c r="E12" s="2">
        <f t="shared" si="1"/>
        <v>0.97009999999999996</v>
      </c>
      <c r="F12" s="2">
        <f t="shared" si="1"/>
        <v>0.96879999999999999</v>
      </c>
      <c r="G12" s="2">
        <f t="shared" si="1"/>
        <v>0.96750000000000003</v>
      </c>
      <c r="H12" s="2">
        <f t="shared" si="1"/>
        <v>0.96619999999999995</v>
      </c>
      <c r="I12" s="2">
        <f t="shared" si="1"/>
        <v>0.96489999999999998</v>
      </c>
      <c r="J12" s="2">
        <f t="shared" si="1"/>
        <v>0.96360000000000001</v>
      </c>
      <c r="K12" s="2">
        <f t="shared" si="1"/>
        <v>0.96229999999999993</v>
      </c>
      <c r="L12" s="5">
        <v>0.96099999999999997</v>
      </c>
      <c r="M12" s="2">
        <f t="shared" si="6"/>
        <v>0.96060000000000001</v>
      </c>
      <c r="N12" s="2">
        <f t="shared" si="6"/>
        <v>0.96019999999999994</v>
      </c>
      <c r="O12" s="2">
        <f t="shared" si="6"/>
        <v>0.95979999999999999</v>
      </c>
      <c r="P12" s="2">
        <f t="shared" si="6"/>
        <v>0.95939999999999992</v>
      </c>
      <c r="Q12" s="5">
        <v>0.95899999999999996</v>
      </c>
      <c r="R12" s="2">
        <f t="shared" si="7"/>
        <v>0.95839999999999992</v>
      </c>
      <c r="S12" s="2">
        <f t="shared" si="2"/>
        <v>0.95779999999999998</v>
      </c>
      <c r="T12" s="2">
        <f t="shared" si="2"/>
        <v>0.95719999999999994</v>
      </c>
      <c r="U12" s="2">
        <f t="shared" si="2"/>
        <v>0.95660000000000001</v>
      </c>
      <c r="V12" s="5">
        <v>0.95599999999999996</v>
      </c>
      <c r="W12" s="2">
        <f t="shared" si="8"/>
        <v>0.9526</v>
      </c>
      <c r="X12" s="2">
        <f t="shared" si="3"/>
        <v>0.94919999999999993</v>
      </c>
      <c r="Y12" s="2">
        <f t="shared" si="3"/>
        <v>0.94579999999999997</v>
      </c>
      <c r="Z12" s="2">
        <f t="shared" si="3"/>
        <v>0.9423999999999999</v>
      </c>
      <c r="AA12" s="5">
        <v>0.93899999999999995</v>
      </c>
      <c r="AB12" s="2">
        <f t="shared" si="9"/>
        <v>0.93433333333333335</v>
      </c>
      <c r="AC12" s="2">
        <f t="shared" si="9"/>
        <v>0.92966666666666664</v>
      </c>
      <c r="AD12" s="5">
        <v>0.92500000000000004</v>
      </c>
      <c r="AE12" s="2">
        <f t="shared" si="10"/>
        <v>0.92033333333333345</v>
      </c>
      <c r="AF12" s="2">
        <f t="shared" si="10"/>
        <v>0.91566666666666674</v>
      </c>
    </row>
    <row r="13" spans="1:32">
      <c r="A13" s="12">
        <f t="shared" si="4"/>
        <v>250</v>
      </c>
      <c r="B13" s="5">
        <v>0.96899999999999997</v>
      </c>
      <c r="C13" s="2">
        <f t="shared" si="5"/>
        <v>0.96750000000000003</v>
      </c>
      <c r="D13" s="2">
        <f t="shared" si="5"/>
        <v>0.96599999999999997</v>
      </c>
      <c r="E13" s="2">
        <f t="shared" si="1"/>
        <v>0.96449999999999991</v>
      </c>
      <c r="F13" s="2">
        <f t="shared" si="1"/>
        <v>0.96299999999999997</v>
      </c>
      <c r="G13" s="2">
        <f t="shared" si="1"/>
        <v>0.96150000000000002</v>
      </c>
      <c r="H13" s="2">
        <f t="shared" si="1"/>
        <v>0.96</v>
      </c>
      <c r="I13" s="2">
        <f t="shared" si="1"/>
        <v>0.95849999999999991</v>
      </c>
      <c r="J13" s="2">
        <f t="shared" si="1"/>
        <v>0.95699999999999996</v>
      </c>
      <c r="K13" s="2">
        <f t="shared" si="1"/>
        <v>0.95550000000000002</v>
      </c>
      <c r="L13" s="5">
        <v>0.95399999999999996</v>
      </c>
      <c r="M13" s="2">
        <f t="shared" si="6"/>
        <v>0.95319999999999994</v>
      </c>
      <c r="N13" s="2">
        <f t="shared" si="6"/>
        <v>0.95239999999999991</v>
      </c>
      <c r="O13" s="2">
        <f t="shared" si="6"/>
        <v>0.9516</v>
      </c>
      <c r="P13" s="2">
        <f t="shared" si="6"/>
        <v>0.95079999999999998</v>
      </c>
      <c r="Q13" s="5">
        <v>0.95</v>
      </c>
      <c r="R13" s="2">
        <f t="shared" si="7"/>
        <v>0.94899999999999995</v>
      </c>
      <c r="S13" s="2">
        <f t="shared" si="2"/>
        <v>0.94799999999999995</v>
      </c>
      <c r="T13" s="2">
        <f t="shared" si="2"/>
        <v>0.94699999999999995</v>
      </c>
      <c r="U13" s="2">
        <f t="shared" si="2"/>
        <v>0.94599999999999995</v>
      </c>
      <c r="V13" s="5">
        <v>0.94499999999999995</v>
      </c>
      <c r="W13" s="2">
        <f t="shared" si="8"/>
        <v>0.94199999999999995</v>
      </c>
      <c r="X13" s="2">
        <f t="shared" si="3"/>
        <v>0.93899999999999995</v>
      </c>
      <c r="Y13" s="2">
        <f t="shared" si="3"/>
        <v>0.93600000000000005</v>
      </c>
      <c r="Z13" s="2">
        <f t="shared" si="3"/>
        <v>0.93300000000000005</v>
      </c>
      <c r="AA13" s="5">
        <v>0.93</v>
      </c>
      <c r="AB13" s="2">
        <f t="shared" si="9"/>
        <v>0.92333333333333334</v>
      </c>
      <c r="AC13" s="2">
        <f t="shared" si="9"/>
        <v>0.91666666666666674</v>
      </c>
      <c r="AD13" s="5">
        <v>0.91</v>
      </c>
      <c r="AE13" s="2">
        <f t="shared" si="10"/>
        <v>0.90333333333333332</v>
      </c>
      <c r="AF13" s="2">
        <f t="shared" si="10"/>
        <v>0.89666666666666672</v>
      </c>
    </row>
    <row r="14" spans="1:32">
      <c r="A14" s="12">
        <f t="shared" si="4"/>
        <v>300</v>
      </c>
      <c r="B14" s="5">
        <v>0.96099999999999997</v>
      </c>
      <c r="C14" s="2">
        <f t="shared" si="5"/>
        <v>0.95950000000000002</v>
      </c>
      <c r="D14" s="2">
        <f t="shared" si="5"/>
        <v>0.95799999999999996</v>
      </c>
      <c r="E14" s="2">
        <f t="shared" si="1"/>
        <v>0.95649999999999991</v>
      </c>
      <c r="F14" s="2">
        <f t="shared" si="1"/>
        <v>0.95499999999999996</v>
      </c>
      <c r="G14" s="2">
        <f t="shared" si="1"/>
        <v>0.95350000000000001</v>
      </c>
      <c r="H14" s="2">
        <f t="shared" si="1"/>
        <v>0.95199999999999996</v>
      </c>
      <c r="I14" s="2">
        <f t="shared" si="1"/>
        <v>0.9504999999999999</v>
      </c>
      <c r="J14" s="2">
        <f t="shared" si="1"/>
        <v>0.94899999999999995</v>
      </c>
      <c r="K14" s="2">
        <f t="shared" si="1"/>
        <v>0.94750000000000001</v>
      </c>
      <c r="L14" s="5">
        <v>0.94599999999999995</v>
      </c>
      <c r="M14" s="2">
        <f t="shared" si="6"/>
        <v>0.94479999999999997</v>
      </c>
      <c r="N14" s="2">
        <f t="shared" si="6"/>
        <v>0.94359999999999999</v>
      </c>
      <c r="O14" s="2">
        <f t="shared" si="6"/>
        <v>0.9423999999999999</v>
      </c>
      <c r="P14" s="2">
        <f t="shared" si="6"/>
        <v>0.94119999999999993</v>
      </c>
      <c r="Q14" s="5">
        <v>0.94</v>
      </c>
      <c r="R14" s="2">
        <f t="shared" si="7"/>
        <v>0.93899999999999995</v>
      </c>
      <c r="S14" s="2">
        <f t="shared" si="2"/>
        <v>0.93799999999999994</v>
      </c>
      <c r="T14" s="2">
        <f t="shared" si="2"/>
        <v>0.93700000000000006</v>
      </c>
      <c r="U14" s="2">
        <f t="shared" si="2"/>
        <v>0.93600000000000005</v>
      </c>
      <c r="V14" s="5">
        <v>0.93500000000000005</v>
      </c>
      <c r="W14" s="2">
        <f t="shared" si="8"/>
        <v>0.93100000000000005</v>
      </c>
      <c r="X14" s="2">
        <f t="shared" si="3"/>
        <v>0.92700000000000005</v>
      </c>
      <c r="Y14" s="2">
        <f t="shared" si="3"/>
        <v>0.92300000000000004</v>
      </c>
      <c r="Z14" s="2">
        <f t="shared" si="3"/>
        <v>0.91900000000000004</v>
      </c>
      <c r="AA14" s="5">
        <v>0.91500000000000004</v>
      </c>
      <c r="AB14" s="2">
        <f t="shared" si="9"/>
        <v>0.90833333333333333</v>
      </c>
      <c r="AC14" s="2">
        <f t="shared" si="9"/>
        <v>0.90166666666666673</v>
      </c>
      <c r="AD14" s="5">
        <v>0.89500000000000002</v>
      </c>
      <c r="AE14" s="2">
        <f t="shared" si="10"/>
        <v>0.88833333333333331</v>
      </c>
      <c r="AF14" s="2">
        <f t="shared" si="10"/>
        <v>0.88166666666666671</v>
      </c>
    </row>
    <row r="15" spans="1:32">
      <c r="A15" s="12">
        <f t="shared" si="4"/>
        <v>350</v>
      </c>
      <c r="B15" s="5">
        <v>0.95599999999999996</v>
      </c>
      <c r="C15" s="2">
        <f t="shared" si="5"/>
        <v>0.95419999999999994</v>
      </c>
      <c r="D15" s="2">
        <f t="shared" si="5"/>
        <v>0.95239999999999991</v>
      </c>
      <c r="E15" s="2">
        <f t="shared" si="1"/>
        <v>0.9506</v>
      </c>
      <c r="F15" s="2">
        <f t="shared" si="1"/>
        <v>0.94879999999999998</v>
      </c>
      <c r="G15" s="2">
        <f t="shared" si="1"/>
        <v>0.94699999999999995</v>
      </c>
      <c r="H15" s="2">
        <f t="shared" si="1"/>
        <v>0.94519999999999993</v>
      </c>
      <c r="I15" s="2">
        <f t="shared" si="1"/>
        <v>0.94339999999999991</v>
      </c>
      <c r="J15" s="2">
        <f t="shared" si="1"/>
        <v>0.94159999999999999</v>
      </c>
      <c r="K15" s="2">
        <f t="shared" si="1"/>
        <v>0.93979999999999997</v>
      </c>
      <c r="L15" s="5">
        <v>0.93799999999999994</v>
      </c>
      <c r="M15" s="2">
        <f t="shared" si="6"/>
        <v>0.93640000000000001</v>
      </c>
      <c r="N15" s="2">
        <f t="shared" si="6"/>
        <v>0.93479999999999996</v>
      </c>
      <c r="O15" s="2">
        <f t="shared" si="6"/>
        <v>0.93320000000000003</v>
      </c>
      <c r="P15" s="2">
        <f t="shared" si="6"/>
        <v>0.93159999999999998</v>
      </c>
      <c r="Q15" s="5">
        <v>0.93</v>
      </c>
      <c r="R15" s="2">
        <f t="shared" si="7"/>
        <v>0.92900000000000005</v>
      </c>
      <c r="S15" s="2">
        <f t="shared" si="2"/>
        <v>0.92800000000000005</v>
      </c>
      <c r="T15" s="2">
        <f t="shared" si="2"/>
        <v>0.92700000000000005</v>
      </c>
      <c r="U15" s="2">
        <f t="shared" si="2"/>
        <v>0.92600000000000005</v>
      </c>
      <c r="V15" s="5">
        <v>0.92500000000000004</v>
      </c>
      <c r="W15" s="2">
        <f t="shared" si="8"/>
        <v>0.92060000000000008</v>
      </c>
      <c r="X15" s="2">
        <f t="shared" si="3"/>
        <v>0.91620000000000001</v>
      </c>
      <c r="Y15" s="2">
        <f t="shared" si="3"/>
        <v>0.91180000000000005</v>
      </c>
      <c r="Z15" s="2">
        <f t="shared" si="3"/>
        <v>0.90739999999999998</v>
      </c>
      <c r="AA15" s="5">
        <v>0.90300000000000002</v>
      </c>
      <c r="AB15" s="2">
        <f t="shared" si="9"/>
        <v>0.89533333333333331</v>
      </c>
      <c r="AC15" s="2">
        <f t="shared" si="9"/>
        <v>0.88766666666666671</v>
      </c>
      <c r="AD15" s="5">
        <v>0.88</v>
      </c>
      <c r="AE15" s="2">
        <f t="shared" si="10"/>
        <v>0.87233333333333329</v>
      </c>
      <c r="AF15" s="2">
        <f t="shared" si="10"/>
        <v>0.86466666666666669</v>
      </c>
    </row>
    <row r="16" spans="1:32">
      <c r="A16" s="12">
        <f t="shared" si="4"/>
        <v>400</v>
      </c>
      <c r="B16" s="5">
        <v>0.95</v>
      </c>
      <c r="C16" s="2">
        <f t="shared" si="5"/>
        <v>0.94809999999999994</v>
      </c>
      <c r="D16" s="2">
        <f t="shared" si="5"/>
        <v>0.94619999999999993</v>
      </c>
      <c r="E16" s="2">
        <f t="shared" si="1"/>
        <v>0.94430000000000003</v>
      </c>
      <c r="F16" s="2">
        <f t="shared" si="1"/>
        <v>0.94240000000000002</v>
      </c>
      <c r="G16" s="2">
        <f t="shared" si="1"/>
        <v>0.9405</v>
      </c>
      <c r="H16" s="2">
        <f t="shared" si="1"/>
        <v>0.93859999999999999</v>
      </c>
      <c r="I16" s="2">
        <f t="shared" si="1"/>
        <v>0.93669999999999998</v>
      </c>
      <c r="J16" s="2">
        <f t="shared" si="1"/>
        <v>0.93480000000000008</v>
      </c>
      <c r="K16" s="2">
        <f t="shared" si="1"/>
        <v>0.93290000000000006</v>
      </c>
      <c r="L16" s="5">
        <v>0.93100000000000005</v>
      </c>
      <c r="M16" s="2">
        <f t="shared" si="6"/>
        <v>0.92960000000000009</v>
      </c>
      <c r="N16" s="2">
        <f t="shared" si="6"/>
        <v>0.92820000000000003</v>
      </c>
      <c r="O16" s="2">
        <f t="shared" si="6"/>
        <v>0.92680000000000007</v>
      </c>
      <c r="P16" s="2">
        <f t="shared" si="6"/>
        <v>0.9254</v>
      </c>
      <c r="Q16" s="5">
        <v>0.92400000000000004</v>
      </c>
      <c r="R16" s="2">
        <f t="shared" si="7"/>
        <v>0.92200000000000004</v>
      </c>
      <c r="S16" s="2">
        <f t="shared" si="2"/>
        <v>0.92</v>
      </c>
      <c r="T16" s="2">
        <f t="shared" si="2"/>
        <v>0.91800000000000004</v>
      </c>
      <c r="U16" s="2">
        <f t="shared" si="2"/>
        <v>0.91600000000000004</v>
      </c>
      <c r="V16" s="5">
        <v>0.91400000000000003</v>
      </c>
      <c r="W16" s="2">
        <f t="shared" si="8"/>
        <v>0.90900000000000003</v>
      </c>
      <c r="X16" s="2">
        <f t="shared" si="3"/>
        <v>0.90400000000000003</v>
      </c>
      <c r="Y16" s="2">
        <f t="shared" si="3"/>
        <v>0.89900000000000002</v>
      </c>
      <c r="Z16" s="2">
        <f t="shared" si="3"/>
        <v>0.89400000000000002</v>
      </c>
      <c r="AA16" s="5">
        <v>0.88900000000000001</v>
      </c>
      <c r="AB16" s="2">
        <f t="shared" si="9"/>
        <v>0.88</v>
      </c>
      <c r="AC16" s="2">
        <f t="shared" si="9"/>
        <v>0.871</v>
      </c>
      <c r="AD16" s="5">
        <v>0.86199999999999999</v>
      </c>
      <c r="AE16" s="2">
        <f t="shared" si="10"/>
        <v>0.85299999999999998</v>
      </c>
      <c r="AF16" s="2">
        <f t="shared" si="10"/>
        <v>0.84399999999999997</v>
      </c>
    </row>
    <row r="17" spans="1:32">
      <c r="A17" s="12">
        <f t="shared" si="4"/>
        <v>450</v>
      </c>
      <c r="B17" s="5">
        <v>0.94499999999999995</v>
      </c>
      <c r="C17" s="2">
        <f t="shared" si="5"/>
        <v>0.94319999999999993</v>
      </c>
      <c r="D17" s="2">
        <f t="shared" si="5"/>
        <v>0.94140000000000001</v>
      </c>
      <c r="E17" s="2">
        <f t="shared" si="1"/>
        <v>0.93959999999999999</v>
      </c>
      <c r="F17" s="2">
        <f t="shared" si="1"/>
        <v>0.93779999999999997</v>
      </c>
      <c r="G17" s="2">
        <f t="shared" si="1"/>
        <v>0.93599999999999994</v>
      </c>
      <c r="H17" s="2">
        <f t="shared" si="1"/>
        <v>0.93420000000000003</v>
      </c>
      <c r="I17" s="2">
        <f t="shared" si="1"/>
        <v>0.93240000000000001</v>
      </c>
      <c r="J17" s="2">
        <f t="shared" si="1"/>
        <v>0.93059999999999998</v>
      </c>
      <c r="K17" s="2">
        <f t="shared" si="1"/>
        <v>0.92880000000000007</v>
      </c>
      <c r="L17" s="5">
        <v>0.92700000000000005</v>
      </c>
      <c r="M17" s="2">
        <f t="shared" si="6"/>
        <v>0.92420000000000002</v>
      </c>
      <c r="N17" s="2">
        <f t="shared" si="6"/>
        <v>0.9214</v>
      </c>
      <c r="O17" s="2">
        <f t="shared" si="6"/>
        <v>0.91860000000000008</v>
      </c>
      <c r="P17" s="2">
        <f t="shared" si="6"/>
        <v>0.91580000000000006</v>
      </c>
      <c r="Q17" s="5">
        <v>0.91300000000000003</v>
      </c>
      <c r="R17" s="2">
        <f t="shared" si="7"/>
        <v>0.91139999999999999</v>
      </c>
      <c r="S17" s="2">
        <f t="shared" si="2"/>
        <v>0.90980000000000005</v>
      </c>
      <c r="T17" s="2">
        <f t="shared" si="2"/>
        <v>0.90820000000000001</v>
      </c>
      <c r="U17" s="2">
        <f t="shared" si="2"/>
        <v>0.90660000000000007</v>
      </c>
      <c r="V17" s="5">
        <v>0.90500000000000003</v>
      </c>
      <c r="W17" s="2">
        <f t="shared" si="8"/>
        <v>0.8992</v>
      </c>
      <c r="X17" s="2">
        <f t="shared" si="3"/>
        <v>0.89339999999999997</v>
      </c>
      <c r="Y17" s="2">
        <f t="shared" si="3"/>
        <v>0.88760000000000006</v>
      </c>
      <c r="Z17" s="2">
        <f t="shared" si="3"/>
        <v>0.88180000000000003</v>
      </c>
      <c r="AA17" s="5">
        <v>0.876</v>
      </c>
      <c r="AB17" s="2">
        <f t="shared" si="9"/>
        <v>0.86733333333333329</v>
      </c>
      <c r="AC17" s="2">
        <f t="shared" si="9"/>
        <v>0.85866666666666669</v>
      </c>
      <c r="AD17" s="5">
        <v>0.85</v>
      </c>
      <c r="AE17" s="2">
        <f t="shared" si="10"/>
        <v>0.84133333333333327</v>
      </c>
      <c r="AF17" s="2">
        <f t="shared" si="10"/>
        <v>0.83266666666666667</v>
      </c>
    </row>
    <row r="18" spans="1:32">
      <c r="A18" s="12">
        <f t="shared" si="4"/>
        <v>500</v>
      </c>
      <c r="B18" s="5">
        <v>0.93899999999999995</v>
      </c>
      <c r="C18" s="2">
        <f t="shared" si="5"/>
        <v>0.93699999999999994</v>
      </c>
      <c r="D18" s="2">
        <f t="shared" si="5"/>
        <v>0.93499999999999994</v>
      </c>
      <c r="E18" s="2">
        <f t="shared" si="1"/>
        <v>0.93299999999999994</v>
      </c>
      <c r="F18" s="2">
        <f t="shared" si="1"/>
        <v>0.93099999999999994</v>
      </c>
      <c r="G18" s="2">
        <f t="shared" si="1"/>
        <v>0.92900000000000005</v>
      </c>
      <c r="H18" s="2">
        <f t="shared" si="1"/>
        <v>0.92700000000000005</v>
      </c>
      <c r="I18" s="2">
        <f t="shared" si="1"/>
        <v>0.92500000000000004</v>
      </c>
      <c r="J18" s="2">
        <f t="shared" si="1"/>
        <v>0.92300000000000004</v>
      </c>
      <c r="K18" s="2">
        <f t="shared" si="1"/>
        <v>0.92100000000000004</v>
      </c>
      <c r="L18" s="5">
        <v>0.91900000000000004</v>
      </c>
      <c r="M18" s="2">
        <f t="shared" si="6"/>
        <v>0.91660000000000008</v>
      </c>
      <c r="N18" s="2">
        <f t="shared" si="6"/>
        <v>0.91420000000000001</v>
      </c>
      <c r="O18" s="2">
        <f t="shared" si="6"/>
        <v>0.91180000000000005</v>
      </c>
      <c r="P18" s="2">
        <f t="shared" si="6"/>
        <v>0.90939999999999999</v>
      </c>
      <c r="Q18" s="5">
        <v>0.90700000000000003</v>
      </c>
      <c r="R18" s="2">
        <f t="shared" si="7"/>
        <v>0.90480000000000005</v>
      </c>
      <c r="S18" s="2">
        <f t="shared" si="2"/>
        <v>0.90260000000000007</v>
      </c>
      <c r="T18" s="2">
        <f t="shared" si="2"/>
        <v>0.90039999999999998</v>
      </c>
      <c r="U18" s="2">
        <f t="shared" si="2"/>
        <v>0.8982</v>
      </c>
      <c r="V18" s="5">
        <v>0.89600000000000002</v>
      </c>
      <c r="W18" s="2">
        <f t="shared" si="8"/>
        <v>0.88980000000000004</v>
      </c>
      <c r="X18" s="2">
        <f t="shared" si="3"/>
        <v>0.88360000000000005</v>
      </c>
      <c r="Y18" s="2">
        <f t="shared" si="3"/>
        <v>0.87739999999999996</v>
      </c>
      <c r="Z18" s="2">
        <f t="shared" si="3"/>
        <v>0.87119999999999997</v>
      </c>
      <c r="AA18" s="5">
        <v>0.86499999999999999</v>
      </c>
      <c r="AB18" s="2">
        <f t="shared" si="9"/>
        <v>0.85499999999999998</v>
      </c>
      <c r="AC18" s="2">
        <f t="shared" si="9"/>
        <v>0.84499999999999997</v>
      </c>
      <c r="AD18" s="5">
        <v>0.83499999999999996</v>
      </c>
      <c r="AE18" s="2">
        <f t="shared" si="10"/>
        <v>0.82499999999999996</v>
      </c>
      <c r="AF18" s="2">
        <f t="shared" si="10"/>
        <v>0.81499999999999995</v>
      </c>
    </row>
    <row r="19" spans="1:32">
      <c r="A19" s="12">
        <f t="shared" si="4"/>
        <v>550</v>
      </c>
      <c r="B19" s="5">
        <v>0.93500000000000005</v>
      </c>
      <c r="C19" s="2">
        <f t="shared" si="5"/>
        <v>0.9325</v>
      </c>
      <c r="D19" s="2">
        <f t="shared" si="5"/>
        <v>0.93</v>
      </c>
      <c r="E19" s="2">
        <f t="shared" si="1"/>
        <v>0.92749999999999999</v>
      </c>
      <c r="F19" s="2">
        <f t="shared" si="1"/>
        <v>0.92500000000000004</v>
      </c>
      <c r="G19" s="2">
        <f t="shared" si="1"/>
        <v>0.9225000000000001</v>
      </c>
      <c r="H19" s="2">
        <f t="shared" si="1"/>
        <v>0.92</v>
      </c>
      <c r="I19" s="2">
        <f t="shared" si="1"/>
        <v>0.91749999999999998</v>
      </c>
      <c r="J19" s="2">
        <f t="shared" si="1"/>
        <v>0.91500000000000004</v>
      </c>
      <c r="K19" s="2">
        <f t="shared" si="1"/>
        <v>0.91250000000000009</v>
      </c>
      <c r="L19" s="5">
        <v>0.91</v>
      </c>
      <c r="M19" s="2">
        <f t="shared" si="6"/>
        <v>0.90720000000000001</v>
      </c>
      <c r="N19" s="2">
        <f t="shared" si="6"/>
        <v>0.90439999999999998</v>
      </c>
      <c r="O19" s="2">
        <f t="shared" si="6"/>
        <v>0.90160000000000007</v>
      </c>
      <c r="P19" s="2">
        <f t="shared" si="6"/>
        <v>0.89880000000000004</v>
      </c>
      <c r="Q19" s="5">
        <v>0.89600000000000002</v>
      </c>
      <c r="R19" s="2">
        <f t="shared" si="7"/>
        <v>0.89360000000000006</v>
      </c>
      <c r="S19" s="2">
        <f t="shared" si="2"/>
        <v>0.89119999999999999</v>
      </c>
      <c r="T19" s="2">
        <f t="shared" si="2"/>
        <v>0.88880000000000003</v>
      </c>
      <c r="U19" s="2">
        <f t="shared" si="2"/>
        <v>0.88639999999999997</v>
      </c>
      <c r="V19" s="5">
        <v>0.88400000000000001</v>
      </c>
      <c r="W19" s="2">
        <f t="shared" si="8"/>
        <v>0.87780000000000002</v>
      </c>
      <c r="X19" s="2">
        <f t="shared" si="3"/>
        <v>0.87160000000000004</v>
      </c>
      <c r="Y19" s="2">
        <f t="shared" si="3"/>
        <v>0.86539999999999995</v>
      </c>
      <c r="Z19" s="2">
        <f t="shared" si="3"/>
        <v>0.85919999999999996</v>
      </c>
      <c r="AA19" s="5">
        <v>0.85299999999999998</v>
      </c>
      <c r="AB19" s="2">
        <f t="shared" si="9"/>
        <v>0.84066666666666667</v>
      </c>
      <c r="AC19" s="2">
        <f t="shared" si="9"/>
        <v>0.82833333333333325</v>
      </c>
      <c r="AD19" s="5">
        <v>0.81599999999999995</v>
      </c>
      <c r="AE19" s="2">
        <f t="shared" si="10"/>
        <v>0.80366666666666664</v>
      </c>
      <c r="AF19" s="2">
        <f t="shared" si="10"/>
        <v>0.79133333333333322</v>
      </c>
    </row>
    <row r="20" spans="1:32">
      <c r="A20" s="12">
        <f t="shared" si="4"/>
        <v>600</v>
      </c>
      <c r="B20" s="5">
        <v>0.93200000000000005</v>
      </c>
      <c r="C20" s="2">
        <f t="shared" si="5"/>
        <v>0.92910000000000004</v>
      </c>
      <c r="D20" s="2">
        <f t="shared" si="5"/>
        <v>0.92620000000000002</v>
      </c>
      <c r="E20" s="2">
        <f t="shared" si="1"/>
        <v>0.92330000000000001</v>
      </c>
      <c r="F20" s="2">
        <f t="shared" si="1"/>
        <v>0.9204</v>
      </c>
      <c r="G20" s="2">
        <f t="shared" si="1"/>
        <v>0.91749999999999998</v>
      </c>
      <c r="H20" s="2">
        <f t="shared" si="1"/>
        <v>0.91460000000000008</v>
      </c>
      <c r="I20" s="2">
        <f t="shared" si="1"/>
        <v>0.91170000000000007</v>
      </c>
      <c r="J20" s="2">
        <f t="shared" si="1"/>
        <v>0.90880000000000005</v>
      </c>
      <c r="K20" s="2">
        <f t="shared" si="1"/>
        <v>0.90590000000000004</v>
      </c>
      <c r="L20" s="5">
        <v>0.90300000000000002</v>
      </c>
      <c r="M20" s="2">
        <f t="shared" si="6"/>
        <v>0.89960000000000007</v>
      </c>
      <c r="N20" s="2">
        <f t="shared" si="6"/>
        <v>0.8962</v>
      </c>
      <c r="O20" s="2">
        <f t="shared" si="6"/>
        <v>0.89280000000000004</v>
      </c>
      <c r="P20" s="2">
        <f t="shared" si="6"/>
        <v>0.88939999999999997</v>
      </c>
      <c r="Q20" s="5">
        <v>0.88600000000000001</v>
      </c>
      <c r="R20" s="2">
        <f t="shared" si="7"/>
        <v>0.88300000000000001</v>
      </c>
      <c r="S20" s="2">
        <f t="shared" si="2"/>
        <v>0.88</v>
      </c>
      <c r="T20" s="2">
        <f t="shared" si="2"/>
        <v>0.877</v>
      </c>
      <c r="U20" s="2">
        <f t="shared" si="2"/>
        <v>0.874</v>
      </c>
      <c r="V20" s="5">
        <v>0.871</v>
      </c>
      <c r="W20" s="2">
        <f t="shared" si="8"/>
        <v>0.86399999999999999</v>
      </c>
      <c r="X20" s="2">
        <f t="shared" si="3"/>
        <v>0.85699999999999998</v>
      </c>
      <c r="Y20" s="2">
        <f t="shared" si="3"/>
        <v>0.85</v>
      </c>
      <c r="Z20" s="2">
        <f t="shared" si="3"/>
        <v>0.84299999999999997</v>
      </c>
      <c r="AA20" s="5">
        <v>0.83599999999999997</v>
      </c>
      <c r="AB20" s="2">
        <f t="shared" si="9"/>
        <v>0.82499999999999996</v>
      </c>
      <c r="AC20" s="2">
        <f t="shared" si="9"/>
        <v>0.81400000000000006</v>
      </c>
      <c r="AD20" s="5">
        <v>0.80300000000000005</v>
      </c>
      <c r="AE20" s="2">
        <f t="shared" si="10"/>
        <v>0.79200000000000004</v>
      </c>
      <c r="AF20" s="2">
        <f t="shared" si="10"/>
        <v>0.78100000000000014</v>
      </c>
    </row>
    <row r="21" spans="1:32">
      <c r="A21" s="12">
        <f t="shared" si="4"/>
        <v>650</v>
      </c>
      <c r="B21" s="5">
        <v>0.92700000000000005</v>
      </c>
      <c r="C21" s="2">
        <f t="shared" si="5"/>
        <v>0.92390000000000005</v>
      </c>
      <c r="D21" s="2">
        <f t="shared" si="5"/>
        <v>0.92080000000000006</v>
      </c>
      <c r="E21" s="2">
        <f t="shared" si="1"/>
        <v>0.91770000000000007</v>
      </c>
      <c r="F21" s="2">
        <f t="shared" si="1"/>
        <v>0.91460000000000008</v>
      </c>
      <c r="G21" s="2">
        <f t="shared" si="1"/>
        <v>0.91149999999999998</v>
      </c>
      <c r="H21" s="2">
        <f t="shared" si="1"/>
        <v>0.90839999999999999</v>
      </c>
      <c r="I21" s="2">
        <f t="shared" si="1"/>
        <v>0.90529999999999999</v>
      </c>
      <c r="J21" s="2">
        <f t="shared" si="1"/>
        <v>0.9022</v>
      </c>
      <c r="K21" s="2">
        <f t="shared" si="1"/>
        <v>0.89910000000000001</v>
      </c>
      <c r="L21" s="5">
        <v>0.89600000000000002</v>
      </c>
      <c r="M21" s="2">
        <f t="shared" si="6"/>
        <v>0.89260000000000006</v>
      </c>
      <c r="N21" s="2">
        <f t="shared" si="6"/>
        <v>0.88919999999999999</v>
      </c>
      <c r="O21" s="2">
        <f t="shared" si="6"/>
        <v>0.88580000000000003</v>
      </c>
      <c r="P21" s="2">
        <f t="shared" si="6"/>
        <v>0.88239999999999996</v>
      </c>
      <c r="Q21" s="5">
        <v>0.879</v>
      </c>
      <c r="R21" s="2">
        <f t="shared" si="7"/>
        <v>0.87580000000000002</v>
      </c>
      <c r="S21" s="2">
        <f t="shared" si="2"/>
        <v>0.87260000000000004</v>
      </c>
      <c r="T21" s="2">
        <f t="shared" si="2"/>
        <v>0.86939999999999995</v>
      </c>
      <c r="U21" s="2">
        <f t="shared" si="2"/>
        <v>0.86619999999999997</v>
      </c>
      <c r="V21" s="5">
        <v>0.86299999999999999</v>
      </c>
      <c r="W21" s="2">
        <f t="shared" si="8"/>
        <v>0.8548</v>
      </c>
      <c r="X21" s="2">
        <f t="shared" si="3"/>
        <v>0.84660000000000002</v>
      </c>
      <c r="Y21" s="2">
        <f t="shared" si="3"/>
        <v>0.83839999999999992</v>
      </c>
      <c r="Z21" s="2">
        <f t="shared" si="3"/>
        <v>0.83019999999999994</v>
      </c>
      <c r="AA21" s="5">
        <v>0.82199999999999995</v>
      </c>
      <c r="AB21" s="2">
        <f t="shared" si="9"/>
        <v>0.80966666666666665</v>
      </c>
      <c r="AC21" s="2">
        <f t="shared" si="9"/>
        <v>0.79733333333333334</v>
      </c>
      <c r="AD21" s="5">
        <v>0.78500000000000003</v>
      </c>
      <c r="AE21" s="2">
        <f t="shared" si="10"/>
        <v>0.77266666666666672</v>
      </c>
      <c r="AF21" s="2">
        <f t="shared" si="10"/>
        <v>0.76033333333333342</v>
      </c>
    </row>
    <row r="22" spans="1:32">
      <c r="A22" s="12">
        <f t="shared" si="4"/>
        <v>700</v>
      </c>
      <c r="B22" s="5">
        <v>0.92100000000000004</v>
      </c>
      <c r="C22" s="2">
        <f t="shared" si="5"/>
        <v>0.91760000000000008</v>
      </c>
      <c r="D22" s="2">
        <f t="shared" si="5"/>
        <v>0.91420000000000001</v>
      </c>
      <c r="E22" s="2">
        <f t="shared" si="1"/>
        <v>0.91080000000000005</v>
      </c>
      <c r="F22" s="2">
        <f t="shared" si="1"/>
        <v>0.90739999999999998</v>
      </c>
      <c r="G22" s="2">
        <f t="shared" si="1"/>
        <v>0.90400000000000003</v>
      </c>
      <c r="H22" s="2">
        <f t="shared" si="1"/>
        <v>0.90060000000000007</v>
      </c>
      <c r="I22" s="2">
        <f t="shared" si="1"/>
        <v>0.8972</v>
      </c>
      <c r="J22" s="2">
        <f t="shared" si="1"/>
        <v>0.89380000000000004</v>
      </c>
      <c r="K22" s="2">
        <f t="shared" si="1"/>
        <v>0.89039999999999997</v>
      </c>
      <c r="L22" s="5">
        <v>0.88700000000000001</v>
      </c>
      <c r="M22" s="2">
        <f t="shared" si="6"/>
        <v>0.88319999999999999</v>
      </c>
      <c r="N22" s="2">
        <f t="shared" si="6"/>
        <v>0.87939999999999996</v>
      </c>
      <c r="O22" s="2">
        <f t="shared" si="6"/>
        <v>0.87560000000000004</v>
      </c>
      <c r="P22" s="2">
        <f t="shared" si="6"/>
        <v>0.87180000000000002</v>
      </c>
      <c r="Q22" s="5">
        <v>0.86799999999999999</v>
      </c>
      <c r="R22" s="2">
        <f t="shared" si="7"/>
        <v>0.86480000000000001</v>
      </c>
      <c r="S22" s="2">
        <f t="shared" si="2"/>
        <v>0.86160000000000003</v>
      </c>
      <c r="T22" s="2">
        <f t="shared" si="2"/>
        <v>0.85839999999999994</v>
      </c>
      <c r="U22" s="2">
        <f t="shared" si="2"/>
        <v>0.85519999999999996</v>
      </c>
      <c r="V22" s="5">
        <v>0.85199999999999998</v>
      </c>
      <c r="W22" s="2">
        <f t="shared" si="8"/>
        <v>0.84399999999999997</v>
      </c>
      <c r="X22" s="2">
        <f t="shared" si="3"/>
        <v>0.83599999999999997</v>
      </c>
      <c r="Y22" s="2">
        <f t="shared" si="3"/>
        <v>0.82800000000000007</v>
      </c>
      <c r="Z22" s="2">
        <f t="shared" si="3"/>
        <v>0.82000000000000006</v>
      </c>
      <c r="AA22" s="5">
        <v>0.81200000000000006</v>
      </c>
      <c r="AB22" s="2">
        <f t="shared" si="9"/>
        <v>0.79800000000000004</v>
      </c>
      <c r="AC22" s="2">
        <f t="shared" si="9"/>
        <v>0.78400000000000003</v>
      </c>
      <c r="AD22" s="5">
        <v>0.77</v>
      </c>
      <c r="AE22" s="2">
        <f t="shared" si="10"/>
        <v>0.75600000000000001</v>
      </c>
      <c r="AF22" s="2">
        <f t="shared" si="10"/>
        <v>0.74199999999999999</v>
      </c>
    </row>
    <row r="23" spans="1:32">
      <c r="A23" s="12">
        <f t="shared" si="4"/>
        <v>750</v>
      </c>
      <c r="B23" s="5">
        <v>0.91600000000000004</v>
      </c>
      <c r="C23" s="2">
        <f t="shared" si="5"/>
        <v>0.91239999999999999</v>
      </c>
      <c r="D23" s="2">
        <f t="shared" si="5"/>
        <v>0.90880000000000005</v>
      </c>
      <c r="E23" s="2">
        <f t="shared" si="1"/>
        <v>0.9052</v>
      </c>
      <c r="F23" s="2">
        <f t="shared" si="1"/>
        <v>0.90160000000000007</v>
      </c>
      <c r="G23" s="2">
        <f t="shared" si="1"/>
        <v>0.89800000000000002</v>
      </c>
      <c r="H23" s="2">
        <f t="shared" si="1"/>
        <v>0.89439999999999997</v>
      </c>
      <c r="I23" s="2">
        <f t="shared" si="1"/>
        <v>0.89080000000000004</v>
      </c>
      <c r="J23" s="2">
        <f t="shared" si="1"/>
        <v>0.88719999999999999</v>
      </c>
      <c r="K23" s="2">
        <f t="shared" si="1"/>
        <v>0.88360000000000005</v>
      </c>
      <c r="L23" s="5">
        <v>0.88</v>
      </c>
      <c r="M23" s="2">
        <f t="shared" si="6"/>
        <v>0.876</v>
      </c>
      <c r="N23" s="2">
        <f t="shared" si="6"/>
        <v>0.872</v>
      </c>
      <c r="O23" s="2">
        <f t="shared" si="6"/>
        <v>0.86799999999999999</v>
      </c>
      <c r="P23" s="2">
        <f t="shared" si="6"/>
        <v>0.86399999999999999</v>
      </c>
      <c r="Q23" s="5">
        <v>0.86</v>
      </c>
      <c r="R23" s="2">
        <f t="shared" si="7"/>
        <v>0.85619999999999996</v>
      </c>
      <c r="S23" s="2">
        <f t="shared" si="2"/>
        <v>0.85239999999999994</v>
      </c>
      <c r="T23" s="2">
        <f t="shared" si="2"/>
        <v>0.84860000000000002</v>
      </c>
      <c r="U23" s="2">
        <f t="shared" si="2"/>
        <v>0.8448</v>
      </c>
      <c r="V23" s="5">
        <v>0.84099999999999997</v>
      </c>
      <c r="W23" s="2">
        <f t="shared" si="8"/>
        <v>0.83319999999999994</v>
      </c>
      <c r="X23" s="2">
        <f t="shared" si="3"/>
        <v>0.82540000000000002</v>
      </c>
      <c r="Y23" s="2">
        <f t="shared" si="3"/>
        <v>0.81759999999999999</v>
      </c>
      <c r="Z23" s="2">
        <f t="shared" si="3"/>
        <v>0.80980000000000008</v>
      </c>
      <c r="AA23" s="5">
        <v>0.80200000000000005</v>
      </c>
      <c r="AB23" s="2">
        <f t="shared" si="9"/>
        <v>0.78600000000000003</v>
      </c>
      <c r="AC23" s="2">
        <f t="shared" si="9"/>
        <v>0.77</v>
      </c>
      <c r="AD23" s="5">
        <v>0.754</v>
      </c>
      <c r="AE23" s="2">
        <f t="shared" si="10"/>
        <v>0.73799999999999999</v>
      </c>
      <c r="AF23" s="2">
        <f t="shared" si="10"/>
        <v>0.72199999999999998</v>
      </c>
    </row>
    <row r="24" spans="1:32">
      <c r="A24" s="12">
        <f t="shared" si="4"/>
        <v>800</v>
      </c>
      <c r="B24" s="5">
        <v>0.90900000000000003</v>
      </c>
      <c r="C24" s="2">
        <f t="shared" si="5"/>
        <v>0.90529999999999999</v>
      </c>
      <c r="D24" s="2">
        <f t="shared" si="5"/>
        <v>0.90160000000000007</v>
      </c>
      <c r="E24" s="2">
        <f t="shared" si="1"/>
        <v>0.89790000000000003</v>
      </c>
      <c r="F24" s="2">
        <f t="shared" si="1"/>
        <v>0.89419999999999999</v>
      </c>
      <c r="G24" s="2">
        <f t="shared" si="1"/>
        <v>0.89050000000000007</v>
      </c>
      <c r="H24" s="2">
        <f t="shared" si="1"/>
        <v>0.88680000000000003</v>
      </c>
      <c r="I24" s="2">
        <f t="shared" si="1"/>
        <v>0.8831</v>
      </c>
      <c r="J24" s="2">
        <f t="shared" si="1"/>
        <v>0.87939999999999996</v>
      </c>
      <c r="K24" s="2">
        <f t="shared" si="1"/>
        <v>0.87570000000000003</v>
      </c>
      <c r="L24" s="5">
        <v>0.872</v>
      </c>
      <c r="M24" s="2">
        <f t="shared" si="6"/>
        <v>0.86760000000000004</v>
      </c>
      <c r="N24" s="2">
        <f t="shared" si="6"/>
        <v>0.86319999999999997</v>
      </c>
      <c r="O24" s="2">
        <f t="shared" si="6"/>
        <v>0.85880000000000001</v>
      </c>
      <c r="P24" s="2">
        <f t="shared" si="6"/>
        <v>0.85439999999999994</v>
      </c>
      <c r="Q24" s="5">
        <v>0.85</v>
      </c>
      <c r="R24" s="2">
        <f t="shared" si="7"/>
        <v>0.84599999999999997</v>
      </c>
      <c r="S24" s="2">
        <f t="shared" si="2"/>
        <v>0.84199999999999997</v>
      </c>
      <c r="T24" s="2">
        <f t="shared" si="2"/>
        <v>0.83799999999999997</v>
      </c>
      <c r="U24" s="2">
        <f t="shared" si="2"/>
        <v>0.83399999999999996</v>
      </c>
      <c r="V24" s="5">
        <v>0.83</v>
      </c>
      <c r="W24" s="2">
        <f t="shared" si="8"/>
        <v>0.82179999999999997</v>
      </c>
      <c r="X24" s="2">
        <f t="shared" si="3"/>
        <v>0.81359999999999999</v>
      </c>
      <c r="Y24" s="2">
        <f t="shared" si="3"/>
        <v>0.8054</v>
      </c>
      <c r="Z24" s="2">
        <f t="shared" si="3"/>
        <v>0.79720000000000002</v>
      </c>
      <c r="AA24" s="5">
        <v>0.78900000000000003</v>
      </c>
      <c r="AB24" s="2">
        <f t="shared" si="9"/>
        <v>0.77266666666666672</v>
      </c>
      <c r="AC24" s="2">
        <f t="shared" si="9"/>
        <v>0.7563333333333333</v>
      </c>
      <c r="AD24" s="5">
        <v>0.74</v>
      </c>
      <c r="AE24" s="2">
        <f t="shared" si="10"/>
        <v>0.72366666666666668</v>
      </c>
      <c r="AF24" s="2">
        <f t="shared" si="10"/>
        <v>0.70733333333333326</v>
      </c>
    </row>
    <row r="25" spans="1:32">
      <c r="A25" s="12">
        <f t="shared" si="4"/>
        <v>850</v>
      </c>
      <c r="B25" s="5">
        <v>0.90500000000000003</v>
      </c>
      <c r="C25" s="2">
        <f t="shared" si="5"/>
        <v>0.90090000000000003</v>
      </c>
      <c r="D25" s="2">
        <f t="shared" si="5"/>
        <v>0.89680000000000004</v>
      </c>
      <c r="E25" s="2">
        <f t="shared" si="5"/>
        <v>0.89270000000000005</v>
      </c>
      <c r="F25" s="2">
        <f t="shared" si="5"/>
        <v>0.88860000000000006</v>
      </c>
      <c r="G25" s="2">
        <f t="shared" si="5"/>
        <v>0.88449999999999995</v>
      </c>
      <c r="H25" s="2">
        <f t="shared" si="5"/>
        <v>0.88039999999999996</v>
      </c>
      <c r="I25" s="2">
        <f t="shared" si="5"/>
        <v>0.87629999999999997</v>
      </c>
      <c r="J25" s="2">
        <f t="shared" si="5"/>
        <v>0.87219999999999998</v>
      </c>
      <c r="K25" s="2">
        <f t="shared" si="5"/>
        <v>0.86809999999999998</v>
      </c>
      <c r="L25" s="5">
        <v>0.86399999999999999</v>
      </c>
      <c r="M25" s="2">
        <f t="shared" si="6"/>
        <v>0.85899999999999999</v>
      </c>
      <c r="N25" s="2">
        <f t="shared" si="6"/>
        <v>0.85399999999999998</v>
      </c>
      <c r="O25" s="2">
        <f t="shared" si="6"/>
        <v>0.84899999999999998</v>
      </c>
      <c r="P25" s="2">
        <f t="shared" si="6"/>
        <v>0.84399999999999997</v>
      </c>
      <c r="Q25" s="5">
        <v>0.83899999999999997</v>
      </c>
      <c r="R25" s="2">
        <f t="shared" si="7"/>
        <v>0.83460000000000001</v>
      </c>
      <c r="S25" s="2">
        <f t="shared" si="7"/>
        <v>0.83019999999999994</v>
      </c>
      <c r="T25" s="2">
        <f t="shared" si="7"/>
        <v>0.82579999999999998</v>
      </c>
      <c r="U25" s="2">
        <f t="shared" si="7"/>
        <v>0.82139999999999991</v>
      </c>
      <c r="V25" s="5">
        <v>0.81699999999999995</v>
      </c>
      <c r="W25" s="2">
        <f t="shared" si="8"/>
        <v>0.80799999999999994</v>
      </c>
      <c r="X25" s="2">
        <f t="shared" si="8"/>
        <v>0.79899999999999993</v>
      </c>
      <c r="Y25" s="2">
        <f t="shared" si="8"/>
        <v>0.79</v>
      </c>
      <c r="Z25" s="2">
        <f t="shared" si="8"/>
        <v>0.78100000000000003</v>
      </c>
      <c r="AA25" s="5">
        <v>0.77200000000000002</v>
      </c>
      <c r="AB25" s="2">
        <f t="shared" si="9"/>
        <v>0.7543333333333333</v>
      </c>
      <c r="AC25" s="2">
        <f t="shared" si="9"/>
        <v>0.73666666666666669</v>
      </c>
      <c r="AD25" s="5">
        <v>0.71899999999999997</v>
      </c>
      <c r="AE25" s="2">
        <f t="shared" si="10"/>
        <v>0.70133333333333325</v>
      </c>
      <c r="AF25" s="2">
        <f t="shared" si="10"/>
        <v>0.68366666666666664</v>
      </c>
    </row>
    <row r="26" spans="1:32">
      <c r="A26" s="12">
        <f t="shared" si="4"/>
        <v>900</v>
      </c>
      <c r="B26" s="5">
        <v>0.90100000000000002</v>
      </c>
      <c r="C26" s="2">
        <f t="shared" si="5"/>
        <v>0.89680000000000004</v>
      </c>
      <c r="D26" s="2">
        <f t="shared" si="5"/>
        <v>0.89260000000000006</v>
      </c>
      <c r="E26" s="2">
        <f t="shared" si="5"/>
        <v>0.88839999999999997</v>
      </c>
      <c r="F26" s="2">
        <f t="shared" si="5"/>
        <v>0.88419999999999999</v>
      </c>
      <c r="G26" s="2">
        <f t="shared" si="5"/>
        <v>0.88</v>
      </c>
      <c r="H26" s="2">
        <f t="shared" si="5"/>
        <v>0.87580000000000002</v>
      </c>
      <c r="I26" s="2">
        <f t="shared" si="5"/>
        <v>0.87160000000000004</v>
      </c>
      <c r="J26" s="2">
        <f t="shared" si="5"/>
        <v>0.86739999999999995</v>
      </c>
      <c r="K26" s="2">
        <f t="shared" si="5"/>
        <v>0.86319999999999997</v>
      </c>
      <c r="L26" s="5">
        <v>0.85899999999999999</v>
      </c>
      <c r="M26" s="2">
        <f t="shared" si="6"/>
        <v>0.85319999999999996</v>
      </c>
      <c r="N26" s="2">
        <f t="shared" si="6"/>
        <v>0.84739999999999993</v>
      </c>
      <c r="O26" s="2">
        <f t="shared" si="6"/>
        <v>0.84160000000000001</v>
      </c>
      <c r="P26" s="2">
        <f t="shared" si="6"/>
        <v>0.83579999999999999</v>
      </c>
      <c r="Q26" s="5">
        <v>0.83</v>
      </c>
      <c r="R26" s="2">
        <f t="shared" si="7"/>
        <v>0.82519999999999993</v>
      </c>
      <c r="S26" s="2">
        <f t="shared" si="7"/>
        <v>0.82040000000000002</v>
      </c>
      <c r="T26" s="2">
        <f t="shared" si="7"/>
        <v>0.81559999999999999</v>
      </c>
      <c r="U26" s="2">
        <f t="shared" si="7"/>
        <v>0.81080000000000008</v>
      </c>
      <c r="V26" s="5">
        <v>0.80600000000000005</v>
      </c>
      <c r="W26" s="2">
        <f t="shared" si="8"/>
        <v>0.79660000000000009</v>
      </c>
      <c r="X26" s="2">
        <f t="shared" si="8"/>
        <v>0.78720000000000001</v>
      </c>
      <c r="Y26" s="2">
        <f t="shared" si="8"/>
        <v>0.77780000000000005</v>
      </c>
      <c r="Z26" s="2">
        <f t="shared" si="8"/>
        <v>0.76839999999999997</v>
      </c>
      <c r="AA26" s="5">
        <v>0.75900000000000001</v>
      </c>
      <c r="AB26" s="2">
        <f t="shared" si="9"/>
        <v>0.74033333333333329</v>
      </c>
      <c r="AC26" s="2">
        <f t="shared" si="9"/>
        <v>0.72166666666666668</v>
      </c>
      <c r="AD26" s="5">
        <v>0.70299999999999996</v>
      </c>
      <c r="AE26" s="2">
        <f t="shared" si="10"/>
        <v>0.68433333333333324</v>
      </c>
      <c r="AF26" s="2">
        <f t="shared" si="10"/>
        <v>0.66566666666666663</v>
      </c>
    </row>
    <row r="27" spans="1:32">
      <c r="A27" s="12">
        <f t="shared" si="4"/>
        <v>950</v>
      </c>
      <c r="B27" s="5">
        <v>0.89600000000000002</v>
      </c>
      <c r="C27" s="2">
        <f t="shared" si="5"/>
        <v>0.89170000000000005</v>
      </c>
      <c r="D27" s="2">
        <f t="shared" si="5"/>
        <v>0.88739999999999997</v>
      </c>
      <c r="E27" s="2">
        <f t="shared" si="5"/>
        <v>0.8831</v>
      </c>
      <c r="F27" s="2">
        <f t="shared" si="5"/>
        <v>0.87880000000000003</v>
      </c>
      <c r="G27" s="2">
        <f t="shared" si="5"/>
        <v>0.87450000000000006</v>
      </c>
      <c r="H27" s="2">
        <f t="shared" si="5"/>
        <v>0.87019999999999997</v>
      </c>
      <c r="I27" s="2">
        <f t="shared" si="5"/>
        <v>0.8659</v>
      </c>
      <c r="J27" s="2">
        <f t="shared" si="5"/>
        <v>0.86160000000000003</v>
      </c>
      <c r="K27" s="2">
        <f t="shared" si="5"/>
        <v>0.85729999999999995</v>
      </c>
      <c r="L27" s="5">
        <v>0.85299999999999998</v>
      </c>
      <c r="M27" s="2">
        <f t="shared" si="6"/>
        <v>0.84639999999999993</v>
      </c>
      <c r="N27" s="2">
        <f t="shared" si="6"/>
        <v>0.83979999999999999</v>
      </c>
      <c r="O27" s="2">
        <f t="shared" si="6"/>
        <v>0.83319999999999994</v>
      </c>
      <c r="P27" s="2">
        <f t="shared" si="6"/>
        <v>0.8266</v>
      </c>
      <c r="Q27" s="5">
        <v>0.82</v>
      </c>
      <c r="R27" s="2">
        <f t="shared" si="7"/>
        <v>0.81599999999999995</v>
      </c>
      <c r="S27" s="2">
        <f t="shared" si="7"/>
        <v>0.81199999999999994</v>
      </c>
      <c r="T27" s="2">
        <f t="shared" si="7"/>
        <v>0.80800000000000005</v>
      </c>
      <c r="U27" s="2">
        <f t="shared" si="7"/>
        <v>0.80400000000000005</v>
      </c>
      <c r="V27" s="5">
        <v>0.8</v>
      </c>
      <c r="W27" s="2">
        <f t="shared" si="8"/>
        <v>0.79</v>
      </c>
      <c r="X27" s="2">
        <f t="shared" si="8"/>
        <v>0.78</v>
      </c>
      <c r="Y27" s="2">
        <f t="shared" si="8"/>
        <v>0.77</v>
      </c>
      <c r="Z27" s="2">
        <f t="shared" si="8"/>
        <v>0.76</v>
      </c>
      <c r="AA27" s="5">
        <v>0.75</v>
      </c>
      <c r="AB27" s="2">
        <f t="shared" si="9"/>
        <v>0.73</v>
      </c>
      <c r="AC27" s="2">
        <f t="shared" si="9"/>
        <v>0.71</v>
      </c>
      <c r="AD27" s="5">
        <v>0.69</v>
      </c>
      <c r="AE27" s="2">
        <f t="shared" si="10"/>
        <v>0.66999999999999993</v>
      </c>
      <c r="AF27" s="2">
        <f t="shared" si="10"/>
        <v>0.64999999999999991</v>
      </c>
    </row>
    <row r="28" spans="1:32">
      <c r="A28" s="12">
        <f t="shared" si="4"/>
        <v>1000</v>
      </c>
      <c r="B28" s="5">
        <v>0.89</v>
      </c>
      <c r="C28" s="2">
        <f t="shared" si="5"/>
        <v>0.88549999999999995</v>
      </c>
      <c r="D28" s="2">
        <f t="shared" si="5"/>
        <v>0.88100000000000001</v>
      </c>
      <c r="E28" s="2">
        <f t="shared" si="5"/>
        <v>0.87650000000000006</v>
      </c>
      <c r="F28" s="2">
        <f t="shared" si="5"/>
        <v>0.872</v>
      </c>
      <c r="G28" s="2">
        <f t="shared" si="5"/>
        <v>0.86749999999999994</v>
      </c>
      <c r="H28" s="2">
        <f t="shared" si="5"/>
        <v>0.86299999999999999</v>
      </c>
      <c r="I28" s="2">
        <f t="shared" si="5"/>
        <v>0.85850000000000004</v>
      </c>
      <c r="J28" s="2">
        <f t="shared" si="5"/>
        <v>0.85399999999999998</v>
      </c>
      <c r="K28" s="2">
        <f t="shared" si="5"/>
        <v>0.84949999999999992</v>
      </c>
      <c r="L28" s="5">
        <v>0.84499999999999997</v>
      </c>
      <c r="M28" s="2">
        <f t="shared" si="6"/>
        <v>0.83879999999999999</v>
      </c>
      <c r="N28" s="2">
        <f t="shared" si="6"/>
        <v>0.83260000000000001</v>
      </c>
      <c r="O28" s="2">
        <f t="shared" si="6"/>
        <v>0.82639999999999991</v>
      </c>
      <c r="P28" s="2">
        <f t="shared" si="6"/>
        <v>0.82019999999999993</v>
      </c>
      <c r="Q28" s="5">
        <v>0.81399999999999995</v>
      </c>
      <c r="R28" s="2">
        <f t="shared" si="7"/>
        <v>0.80819999999999992</v>
      </c>
      <c r="S28" s="2">
        <f t="shared" si="7"/>
        <v>0.8024</v>
      </c>
      <c r="T28" s="2">
        <f t="shared" si="7"/>
        <v>0.79659999999999997</v>
      </c>
      <c r="U28" s="2">
        <f t="shared" si="7"/>
        <v>0.79080000000000006</v>
      </c>
      <c r="V28" s="5">
        <v>0.78500000000000003</v>
      </c>
      <c r="W28" s="2">
        <f t="shared" si="8"/>
        <v>0.77500000000000002</v>
      </c>
      <c r="X28" s="2">
        <f t="shared" si="8"/>
        <v>0.76500000000000001</v>
      </c>
      <c r="Y28" s="2">
        <f t="shared" si="8"/>
        <v>0.755</v>
      </c>
      <c r="Z28" s="2">
        <f t="shared" si="8"/>
        <v>0.745</v>
      </c>
      <c r="AA28" s="5">
        <v>0.73499999999999999</v>
      </c>
      <c r="AB28" s="2">
        <f t="shared" si="9"/>
        <v>0.71499999999999997</v>
      </c>
      <c r="AC28" s="2">
        <f t="shared" si="9"/>
        <v>0.69500000000000006</v>
      </c>
      <c r="AD28" s="5">
        <v>0.67500000000000004</v>
      </c>
      <c r="AE28" s="2">
        <f t="shared" si="10"/>
        <v>0.65500000000000003</v>
      </c>
      <c r="AF28" s="2">
        <f t="shared" si="10"/>
        <v>0.63500000000000012</v>
      </c>
    </row>
    <row r="29" spans="1:32">
      <c r="A29" s="12">
        <f t="shared" si="4"/>
        <v>1050</v>
      </c>
      <c r="B29" s="5">
        <v>0.88500000000000001</v>
      </c>
      <c r="C29" s="2">
        <f t="shared" si="5"/>
        <v>0.88009999999999999</v>
      </c>
      <c r="D29" s="2">
        <f t="shared" si="5"/>
        <v>0.87519999999999998</v>
      </c>
      <c r="E29" s="2">
        <f t="shared" si="5"/>
        <v>0.87029999999999996</v>
      </c>
      <c r="F29" s="2">
        <f t="shared" si="5"/>
        <v>0.86539999999999995</v>
      </c>
      <c r="G29" s="2">
        <f t="shared" si="5"/>
        <v>0.86049999999999993</v>
      </c>
      <c r="H29" s="2">
        <f t="shared" si="5"/>
        <v>0.85560000000000003</v>
      </c>
      <c r="I29" s="2">
        <f t="shared" si="5"/>
        <v>0.85070000000000001</v>
      </c>
      <c r="J29" s="2">
        <f t="shared" si="5"/>
        <v>0.8458</v>
      </c>
      <c r="K29" s="2">
        <f t="shared" si="5"/>
        <v>0.84089999999999998</v>
      </c>
      <c r="L29" s="5">
        <v>0.83599999999999997</v>
      </c>
      <c r="M29" s="2">
        <f t="shared" si="6"/>
        <v>0.82979999999999998</v>
      </c>
      <c r="N29" s="2">
        <f t="shared" si="6"/>
        <v>0.8236</v>
      </c>
      <c r="O29" s="2">
        <f t="shared" si="6"/>
        <v>0.81740000000000002</v>
      </c>
      <c r="P29" s="2">
        <f t="shared" si="6"/>
        <v>0.81120000000000003</v>
      </c>
      <c r="Q29" s="5">
        <v>0.80500000000000005</v>
      </c>
      <c r="R29" s="2">
        <f t="shared" si="7"/>
        <v>0.7984</v>
      </c>
      <c r="S29" s="2">
        <f t="shared" si="7"/>
        <v>0.79180000000000006</v>
      </c>
      <c r="T29" s="2">
        <f t="shared" si="7"/>
        <v>0.78520000000000001</v>
      </c>
      <c r="U29" s="2">
        <f t="shared" si="7"/>
        <v>0.77860000000000007</v>
      </c>
      <c r="V29" s="5">
        <v>0.77200000000000002</v>
      </c>
      <c r="W29" s="2">
        <f t="shared" si="8"/>
        <v>0.76160000000000005</v>
      </c>
      <c r="X29" s="2">
        <f t="shared" si="8"/>
        <v>0.75119999999999998</v>
      </c>
      <c r="Y29" s="2">
        <f t="shared" si="8"/>
        <v>0.74080000000000001</v>
      </c>
      <c r="Z29" s="2">
        <f t="shared" si="8"/>
        <v>0.73039999999999994</v>
      </c>
      <c r="AA29" s="5">
        <v>0.72</v>
      </c>
      <c r="AB29" s="2">
        <f t="shared" si="9"/>
        <v>0.69733333333333336</v>
      </c>
      <c r="AC29" s="2">
        <f t="shared" si="9"/>
        <v>0.67466666666666664</v>
      </c>
      <c r="AD29" s="5">
        <v>0.65200000000000002</v>
      </c>
      <c r="AE29" s="2">
        <f t="shared" si="10"/>
        <v>0.62933333333333341</v>
      </c>
      <c r="AF29" s="2">
        <f t="shared" si="10"/>
        <v>0.60666666666666669</v>
      </c>
    </row>
    <row r="30" spans="1:32">
      <c r="A30" s="12">
        <f t="shared" si="4"/>
        <v>1100</v>
      </c>
      <c r="B30" s="5">
        <v>0.88</v>
      </c>
      <c r="C30" s="2">
        <f t="shared" si="5"/>
        <v>0.87480000000000002</v>
      </c>
      <c r="D30" s="2">
        <f t="shared" si="5"/>
        <v>0.86960000000000004</v>
      </c>
      <c r="E30" s="2">
        <f t="shared" si="5"/>
        <v>0.86439999999999995</v>
      </c>
      <c r="F30" s="2">
        <f t="shared" si="5"/>
        <v>0.85919999999999996</v>
      </c>
      <c r="G30" s="2">
        <f t="shared" si="5"/>
        <v>0.85399999999999998</v>
      </c>
      <c r="H30" s="2">
        <f t="shared" si="5"/>
        <v>0.8488</v>
      </c>
      <c r="I30" s="2">
        <f t="shared" si="5"/>
        <v>0.84360000000000002</v>
      </c>
      <c r="J30" s="2">
        <f t="shared" si="5"/>
        <v>0.83839999999999992</v>
      </c>
      <c r="K30" s="2">
        <f t="shared" si="5"/>
        <v>0.83319999999999994</v>
      </c>
      <c r="L30" s="5">
        <v>0.82799999999999996</v>
      </c>
      <c r="M30" s="2">
        <f t="shared" si="6"/>
        <v>0.8216</v>
      </c>
      <c r="N30" s="2">
        <f t="shared" si="6"/>
        <v>0.81520000000000004</v>
      </c>
      <c r="O30" s="2">
        <f t="shared" si="6"/>
        <v>0.80879999999999996</v>
      </c>
      <c r="P30" s="2">
        <f t="shared" si="6"/>
        <v>0.8024</v>
      </c>
      <c r="Q30" s="5">
        <v>0.79600000000000004</v>
      </c>
      <c r="R30" s="2">
        <f t="shared" si="7"/>
        <v>0.78900000000000003</v>
      </c>
      <c r="S30" s="2">
        <f t="shared" si="7"/>
        <v>0.78200000000000003</v>
      </c>
      <c r="T30" s="2">
        <f t="shared" si="7"/>
        <v>0.77500000000000002</v>
      </c>
      <c r="U30" s="2">
        <f t="shared" si="7"/>
        <v>0.76800000000000002</v>
      </c>
      <c r="V30" s="5">
        <v>0.76100000000000001</v>
      </c>
      <c r="W30" s="2">
        <f t="shared" si="8"/>
        <v>0.75060000000000004</v>
      </c>
      <c r="X30" s="2">
        <f t="shared" si="8"/>
        <v>0.74019999999999997</v>
      </c>
      <c r="Y30" s="2">
        <f t="shared" si="8"/>
        <v>0.7298</v>
      </c>
      <c r="Z30" s="2">
        <f t="shared" si="8"/>
        <v>0.71939999999999993</v>
      </c>
      <c r="AA30" s="5">
        <v>0.70899999999999996</v>
      </c>
      <c r="AB30" s="2">
        <f t="shared" si="9"/>
        <v>0.68299999999999994</v>
      </c>
      <c r="AC30" s="2">
        <f t="shared" si="9"/>
        <v>0.65700000000000003</v>
      </c>
      <c r="AD30" s="5">
        <v>0.63100000000000001</v>
      </c>
      <c r="AE30" s="2">
        <f t="shared" si="10"/>
        <v>0.60499999999999998</v>
      </c>
      <c r="AF30" s="2">
        <f t="shared" si="10"/>
        <v>0.57900000000000007</v>
      </c>
    </row>
    <row r="31" spans="1:32">
      <c r="A31" s="12">
        <f t="shared" si="4"/>
        <v>1150</v>
      </c>
      <c r="B31" s="5">
        <v>0.875</v>
      </c>
      <c r="C31" s="2">
        <f t="shared" si="5"/>
        <v>0.86970000000000003</v>
      </c>
      <c r="D31" s="2">
        <f t="shared" si="5"/>
        <v>0.86439999999999995</v>
      </c>
      <c r="E31" s="2">
        <f t="shared" si="5"/>
        <v>0.85909999999999997</v>
      </c>
      <c r="F31" s="2">
        <f t="shared" si="5"/>
        <v>0.8538</v>
      </c>
      <c r="G31" s="2">
        <f t="shared" si="5"/>
        <v>0.84849999999999992</v>
      </c>
      <c r="H31" s="2">
        <f t="shared" si="5"/>
        <v>0.84319999999999995</v>
      </c>
      <c r="I31" s="2">
        <f t="shared" si="5"/>
        <v>0.83789999999999998</v>
      </c>
      <c r="J31" s="2">
        <f t="shared" si="5"/>
        <v>0.83260000000000001</v>
      </c>
      <c r="K31" s="2">
        <f t="shared" si="5"/>
        <v>0.82729999999999992</v>
      </c>
      <c r="L31" s="5">
        <v>0.82199999999999995</v>
      </c>
      <c r="M31" s="2">
        <f t="shared" si="6"/>
        <v>0.81519999999999992</v>
      </c>
      <c r="N31" s="2">
        <f t="shared" si="6"/>
        <v>0.80840000000000001</v>
      </c>
      <c r="O31" s="2">
        <f t="shared" si="6"/>
        <v>0.80159999999999998</v>
      </c>
      <c r="P31" s="2">
        <f t="shared" si="6"/>
        <v>0.79480000000000006</v>
      </c>
      <c r="Q31" s="5">
        <v>0.78800000000000003</v>
      </c>
      <c r="R31" s="2">
        <f t="shared" si="7"/>
        <v>0.78100000000000003</v>
      </c>
      <c r="S31" s="2">
        <f t="shared" si="7"/>
        <v>0.77400000000000002</v>
      </c>
      <c r="T31" s="2">
        <f t="shared" si="7"/>
        <v>0.76700000000000002</v>
      </c>
      <c r="U31" s="2">
        <f t="shared" si="7"/>
        <v>0.76</v>
      </c>
      <c r="V31" s="5">
        <v>0.753</v>
      </c>
      <c r="W31" s="2">
        <f t="shared" si="8"/>
        <v>0.74239999999999995</v>
      </c>
      <c r="X31" s="2">
        <f t="shared" si="8"/>
        <v>0.73180000000000001</v>
      </c>
      <c r="Y31" s="2">
        <f t="shared" si="8"/>
        <v>0.72119999999999995</v>
      </c>
      <c r="Z31" s="2">
        <f t="shared" si="8"/>
        <v>0.71060000000000001</v>
      </c>
      <c r="AA31" s="5">
        <v>0.7</v>
      </c>
      <c r="AB31" s="2">
        <f t="shared" si="9"/>
        <v>0.67199999999999993</v>
      </c>
      <c r="AC31" s="2">
        <f t="shared" si="9"/>
        <v>0.64400000000000002</v>
      </c>
      <c r="AD31" s="5">
        <v>0.61599999999999999</v>
      </c>
      <c r="AE31" s="2">
        <f t="shared" si="10"/>
        <v>0.58799999999999997</v>
      </c>
      <c r="AF31" s="2">
        <f t="shared" si="10"/>
        <v>0.56000000000000005</v>
      </c>
    </row>
    <row r="32" spans="1:32">
      <c r="A32" s="12">
        <f t="shared" si="4"/>
        <v>1200</v>
      </c>
      <c r="B32" s="5">
        <v>0.87</v>
      </c>
      <c r="C32" s="2">
        <f t="shared" si="5"/>
        <v>0.86480000000000001</v>
      </c>
      <c r="D32" s="2">
        <f t="shared" si="5"/>
        <v>0.85960000000000003</v>
      </c>
      <c r="E32" s="2">
        <f t="shared" si="5"/>
        <v>0.85439999999999994</v>
      </c>
      <c r="F32" s="2">
        <f t="shared" si="5"/>
        <v>0.84919999999999995</v>
      </c>
      <c r="G32" s="2">
        <f t="shared" si="5"/>
        <v>0.84399999999999997</v>
      </c>
      <c r="H32" s="2">
        <f t="shared" si="5"/>
        <v>0.83879999999999999</v>
      </c>
      <c r="I32" s="2">
        <f t="shared" si="5"/>
        <v>0.83360000000000001</v>
      </c>
      <c r="J32" s="2">
        <f t="shared" si="5"/>
        <v>0.82839999999999991</v>
      </c>
      <c r="K32" s="2">
        <f t="shared" si="5"/>
        <v>0.82319999999999993</v>
      </c>
      <c r="L32" s="5">
        <v>0.81799999999999995</v>
      </c>
      <c r="M32" s="2">
        <f t="shared" si="6"/>
        <v>0.81040000000000001</v>
      </c>
      <c r="N32" s="2">
        <f t="shared" si="6"/>
        <v>0.80279999999999996</v>
      </c>
      <c r="O32" s="2">
        <f t="shared" si="6"/>
        <v>0.79520000000000002</v>
      </c>
      <c r="P32" s="2">
        <f t="shared" si="6"/>
        <v>0.78759999999999997</v>
      </c>
      <c r="Q32" s="5">
        <v>0.78</v>
      </c>
      <c r="R32" s="2">
        <f t="shared" si="7"/>
        <v>0.77300000000000002</v>
      </c>
      <c r="S32" s="2">
        <f t="shared" si="7"/>
        <v>0.76600000000000001</v>
      </c>
      <c r="T32" s="2">
        <f t="shared" si="7"/>
        <v>0.75900000000000001</v>
      </c>
      <c r="U32" s="2">
        <f t="shared" si="7"/>
        <v>0.752</v>
      </c>
      <c r="V32" s="5">
        <v>0.745</v>
      </c>
      <c r="W32" s="2">
        <f t="shared" si="8"/>
        <v>0.73380000000000001</v>
      </c>
      <c r="X32" s="2">
        <f t="shared" si="8"/>
        <v>0.72260000000000002</v>
      </c>
      <c r="Y32" s="2">
        <f t="shared" si="8"/>
        <v>0.71139999999999992</v>
      </c>
      <c r="Z32" s="2">
        <f t="shared" si="8"/>
        <v>0.70019999999999993</v>
      </c>
      <c r="AA32" s="5">
        <v>0.68899999999999995</v>
      </c>
      <c r="AB32" s="2">
        <f t="shared" si="9"/>
        <v>0.66099999999999992</v>
      </c>
      <c r="AC32" s="2">
        <f t="shared" si="9"/>
        <v>0.63300000000000001</v>
      </c>
      <c r="AD32" s="5">
        <v>0.60499999999999998</v>
      </c>
      <c r="AE32" s="2">
        <f t="shared" si="10"/>
        <v>0.57699999999999996</v>
      </c>
      <c r="AF32" s="2">
        <f t="shared" si="10"/>
        <v>0.54900000000000004</v>
      </c>
    </row>
    <row r="33" spans="1:32">
      <c r="A33" s="12">
        <f>A32+50</f>
        <v>1250</v>
      </c>
      <c r="B33" s="5">
        <v>0.86699999999999999</v>
      </c>
      <c r="C33" s="2">
        <f t="shared" si="5"/>
        <v>0.86150000000000004</v>
      </c>
      <c r="D33" s="2">
        <f t="shared" si="5"/>
        <v>0.85599999999999998</v>
      </c>
      <c r="E33" s="2">
        <f t="shared" si="5"/>
        <v>0.85050000000000003</v>
      </c>
      <c r="F33" s="2">
        <f t="shared" si="5"/>
        <v>0.84499999999999997</v>
      </c>
      <c r="G33" s="2">
        <f t="shared" si="5"/>
        <v>0.83950000000000002</v>
      </c>
      <c r="H33" s="2">
        <f t="shared" si="5"/>
        <v>0.83400000000000007</v>
      </c>
      <c r="I33" s="2">
        <f t="shared" si="5"/>
        <v>0.82850000000000001</v>
      </c>
      <c r="J33" s="2">
        <f t="shared" si="5"/>
        <v>0.82300000000000006</v>
      </c>
      <c r="K33" s="2">
        <f t="shared" si="5"/>
        <v>0.8175</v>
      </c>
      <c r="L33" s="5">
        <v>0.81200000000000006</v>
      </c>
      <c r="M33" s="2">
        <f t="shared" si="6"/>
        <v>0.80360000000000009</v>
      </c>
      <c r="N33" s="2">
        <f t="shared" si="6"/>
        <v>0.79520000000000002</v>
      </c>
      <c r="O33" s="2">
        <f t="shared" si="6"/>
        <v>0.78680000000000005</v>
      </c>
      <c r="P33" s="2">
        <f t="shared" si="6"/>
        <v>0.77839999999999998</v>
      </c>
      <c r="Q33" s="5">
        <v>0.77</v>
      </c>
      <c r="R33" s="2">
        <f t="shared" si="7"/>
        <v>0.76319999999999999</v>
      </c>
      <c r="S33" s="2">
        <f t="shared" si="7"/>
        <v>0.75639999999999996</v>
      </c>
      <c r="T33" s="2">
        <f t="shared" si="7"/>
        <v>0.74960000000000004</v>
      </c>
      <c r="U33" s="2">
        <f t="shared" si="7"/>
        <v>0.74280000000000002</v>
      </c>
      <c r="V33" s="5">
        <v>0.73599999999999999</v>
      </c>
      <c r="W33" s="2">
        <f t="shared" si="8"/>
        <v>0.72399999999999998</v>
      </c>
      <c r="X33" s="2">
        <f t="shared" si="8"/>
        <v>0.71199999999999997</v>
      </c>
      <c r="Y33" s="2">
        <f t="shared" si="8"/>
        <v>0.70000000000000007</v>
      </c>
      <c r="Z33" s="2">
        <f t="shared" si="8"/>
        <v>0.68800000000000006</v>
      </c>
      <c r="AA33" s="5">
        <v>0.67600000000000005</v>
      </c>
      <c r="AB33" s="2">
        <f t="shared" si="9"/>
        <v>0.64733333333333332</v>
      </c>
      <c r="AC33" s="2">
        <f t="shared" si="9"/>
        <v>0.6186666666666667</v>
      </c>
      <c r="AD33" s="5">
        <v>0.59</v>
      </c>
      <c r="AE33" s="2">
        <f t="shared" si="10"/>
        <v>0.56133333333333324</v>
      </c>
      <c r="AF33" s="2">
        <f t="shared" si="10"/>
        <v>0.53266666666666662</v>
      </c>
    </row>
    <row r="41" spans="1:32">
      <c r="A41" t="s">
        <v>14</v>
      </c>
    </row>
    <row r="43" spans="1:32">
      <c r="A43">
        <v>150</v>
      </c>
      <c r="C43" t="s">
        <v>73</v>
      </c>
      <c r="G43">
        <v>95</v>
      </c>
      <c r="I43" t="s">
        <v>95</v>
      </c>
      <c r="M43">
        <v>40</v>
      </c>
      <c r="O43" t="s">
        <v>86</v>
      </c>
    </row>
    <row r="44" spans="1:32">
      <c r="A44">
        <f t="shared" ref="A44:A53" si="11">A43-5</f>
        <v>145</v>
      </c>
      <c r="C44" t="s">
        <v>103</v>
      </c>
      <c r="G44">
        <f t="shared" ref="G44:G53" si="12">G43-5</f>
        <v>90</v>
      </c>
      <c r="I44" t="s">
        <v>94</v>
      </c>
      <c r="M44">
        <f t="shared" ref="M44:M51" si="13">M43-5</f>
        <v>35</v>
      </c>
      <c r="O44" t="s">
        <v>85</v>
      </c>
    </row>
    <row r="45" spans="1:32">
      <c r="A45">
        <f t="shared" si="11"/>
        <v>140</v>
      </c>
      <c r="C45" t="s">
        <v>102</v>
      </c>
      <c r="G45">
        <f t="shared" si="12"/>
        <v>85</v>
      </c>
      <c r="I45" t="s">
        <v>93</v>
      </c>
      <c r="M45">
        <f t="shared" si="13"/>
        <v>30</v>
      </c>
      <c r="O45" t="s">
        <v>84</v>
      </c>
    </row>
    <row r="46" spans="1:32">
      <c r="A46">
        <f t="shared" si="11"/>
        <v>135</v>
      </c>
      <c r="C46" t="s">
        <v>101</v>
      </c>
      <c r="G46">
        <f t="shared" si="12"/>
        <v>80</v>
      </c>
      <c r="I46" t="s">
        <v>92</v>
      </c>
      <c r="M46">
        <f t="shared" si="13"/>
        <v>25</v>
      </c>
      <c r="O46" t="s">
        <v>78</v>
      </c>
    </row>
    <row r="47" spans="1:32">
      <c r="A47">
        <f t="shared" si="11"/>
        <v>130</v>
      </c>
      <c r="C47" t="s">
        <v>100</v>
      </c>
      <c r="G47">
        <f t="shared" si="12"/>
        <v>75</v>
      </c>
      <c r="I47" t="s">
        <v>76</v>
      </c>
      <c r="M47">
        <f t="shared" si="13"/>
        <v>20</v>
      </c>
      <c r="O47" t="s">
        <v>83</v>
      </c>
    </row>
    <row r="48" spans="1:32">
      <c r="A48">
        <f t="shared" si="11"/>
        <v>125</v>
      </c>
      <c r="C48" t="s">
        <v>74</v>
      </c>
      <c r="G48">
        <f t="shared" si="12"/>
        <v>70</v>
      </c>
      <c r="I48" t="s">
        <v>90</v>
      </c>
      <c r="M48">
        <f t="shared" si="13"/>
        <v>15</v>
      </c>
      <c r="O48" t="s">
        <v>82</v>
      </c>
    </row>
    <row r="49" spans="1:15">
      <c r="A49">
        <f t="shared" si="11"/>
        <v>120</v>
      </c>
      <c r="C49" t="s">
        <v>99</v>
      </c>
      <c r="G49">
        <f t="shared" si="12"/>
        <v>65</v>
      </c>
      <c r="I49" t="s">
        <v>91</v>
      </c>
      <c r="M49">
        <f t="shared" si="13"/>
        <v>10</v>
      </c>
      <c r="O49" t="s">
        <v>81</v>
      </c>
    </row>
    <row r="50" spans="1:15">
      <c r="A50">
        <f t="shared" si="11"/>
        <v>115</v>
      </c>
      <c r="C50" t="s">
        <v>97</v>
      </c>
      <c r="G50">
        <f t="shared" si="12"/>
        <v>60</v>
      </c>
      <c r="I50" t="s">
        <v>89</v>
      </c>
      <c r="M50">
        <f t="shared" si="13"/>
        <v>5</v>
      </c>
      <c r="O50" t="s">
        <v>80</v>
      </c>
    </row>
    <row r="51" spans="1:15">
      <c r="A51">
        <f t="shared" si="11"/>
        <v>110</v>
      </c>
      <c r="C51" t="s">
        <v>98</v>
      </c>
      <c r="G51">
        <f t="shared" si="12"/>
        <v>55</v>
      </c>
      <c r="I51" t="s">
        <v>88</v>
      </c>
      <c r="M51">
        <f t="shared" si="13"/>
        <v>0</v>
      </c>
      <c r="O51" t="s">
        <v>79</v>
      </c>
    </row>
    <row r="52" spans="1:15">
      <c r="A52">
        <f t="shared" si="11"/>
        <v>105</v>
      </c>
      <c r="C52" t="s">
        <v>96</v>
      </c>
      <c r="G52">
        <f t="shared" si="12"/>
        <v>50</v>
      </c>
      <c r="I52" t="s">
        <v>77</v>
      </c>
    </row>
    <row r="53" spans="1:15">
      <c r="A53">
        <f t="shared" si="11"/>
        <v>100</v>
      </c>
      <c r="C53" t="s">
        <v>75</v>
      </c>
      <c r="G53">
        <f t="shared" si="12"/>
        <v>45</v>
      </c>
      <c r="I53" t="s">
        <v>87</v>
      </c>
    </row>
  </sheetData>
  <sheetProtection sheet="1" objects="1" scenarios="1"/>
  <mergeCells count="4">
    <mergeCell ref="A1:D3"/>
    <mergeCell ref="G2:K3"/>
    <mergeCell ref="B5:N5"/>
    <mergeCell ref="O5:AF5"/>
  </mergeCells>
  <phoneticPr fontId="1" type="noConversion"/>
  <pageMargins left="0.75" right="0.75" top="1" bottom="1" header="0.5" footer="0.5"/>
  <headerFooter alignWithMargins="0"/>
</worksheet>
</file>

<file path=xl/worksheets/sheet7.xml><?xml version="1.0" encoding="utf-8"?>
<worksheet xmlns="http://schemas.openxmlformats.org/spreadsheetml/2006/main" xmlns:r="http://schemas.openxmlformats.org/officeDocument/2006/relationships">
  <sheetPr codeName="Sheet1"/>
  <dimension ref="A1:F138"/>
  <sheetViews>
    <sheetView workbookViewId="0">
      <selection activeCell="Y30" sqref="Y30"/>
    </sheetView>
  </sheetViews>
  <sheetFormatPr defaultRowHeight="12.75"/>
  <cols>
    <col min="1" max="1" width="17.140625" style="17" customWidth="1"/>
    <col min="2" max="2" width="15.5703125" style="17" customWidth="1"/>
    <col min="3" max="16384" width="9.140625" style="17"/>
  </cols>
  <sheetData>
    <row r="1" spans="1:6">
      <c r="A1" s="24" t="s">
        <v>2</v>
      </c>
      <c r="B1" s="24" t="s">
        <v>0</v>
      </c>
    </row>
    <row r="2" spans="1:6" s="32" customFormat="1">
      <c r="A2" s="31">
        <v>14.7</v>
      </c>
      <c r="B2" s="17">
        <f>1-0.000145*(A2+14.5)</f>
        <v>0.99576600000000004</v>
      </c>
    </row>
    <row r="6" spans="1:6">
      <c r="A6" s="24" t="s">
        <v>1</v>
      </c>
      <c r="B6" s="24" t="s">
        <v>0</v>
      </c>
      <c r="C6" s="154" t="s">
        <v>4</v>
      </c>
      <c r="D6" s="154"/>
      <c r="E6" s="154"/>
      <c r="F6" s="154"/>
    </row>
    <row r="7" spans="1:6">
      <c r="A7" s="30">
        <v>0</v>
      </c>
      <c r="B7" s="30">
        <f t="shared" ref="B7:B32" si="0">1-0.000145*(A7+14.5)</f>
        <v>0.99789749999999999</v>
      </c>
      <c r="C7" s="154"/>
      <c r="D7" s="154"/>
      <c r="E7" s="154"/>
      <c r="F7" s="154"/>
    </row>
    <row r="8" spans="1:6">
      <c r="A8" s="30">
        <f>A7+50</f>
        <v>50</v>
      </c>
      <c r="B8" s="30">
        <f t="shared" si="0"/>
        <v>0.99064750000000001</v>
      </c>
    </row>
    <row r="9" spans="1:6">
      <c r="A9" s="30">
        <f t="shared" ref="A9:A31" si="1">A8+50</f>
        <v>100</v>
      </c>
      <c r="B9" s="30">
        <f t="shared" si="0"/>
        <v>0.98339750000000004</v>
      </c>
    </row>
    <row r="10" spans="1:6">
      <c r="A10" s="30">
        <f t="shared" si="1"/>
        <v>150</v>
      </c>
      <c r="B10" s="30">
        <f t="shared" si="0"/>
        <v>0.97614749999999995</v>
      </c>
    </row>
    <row r="11" spans="1:6">
      <c r="A11" s="30">
        <f t="shared" si="1"/>
        <v>200</v>
      </c>
      <c r="B11" s="30">
        <f t="shared" si="0"/>
        <v>0.96889749999999997</v>
      </c>
    </row>
    <row r="12" spans="1:6">
      <c r="A12" s="30">
        <f t="shared" si="1"/>
        <v>250</v>
      </c>
      <c r="B12" s="30">
        <f t="shared" si="0"/>
        <v>0.96164749999999999</v>
      </c>
    </row>
    <row r="13" spans="1:6">
      <c r="A13" s="30">
        <f t="shared" si="1"/>
        <v>300</v>
      </c>
      <c r="B13" s="30">
        <f t="shared" si="0"/>
        <v>0.95439750000000001</v>
      </c>
    </row>
    <row r="14" spans="1:6">
      <c r="A14" s="30">
        <f t="shared" si="1"/>
        <v>350</v>
      </c>
      <c r="B14" s="30">
        <f t="shared" si="0"/>
        <v>0.94714750000000003</v>
      </c>
    </row>
    <row r="15" spans="1:6">
      <c r="A15" s="30">
        <f t="shared" si="1"/>
        <v>400</v>
      </c>
      <c r="B15" s="30">
        <f t="shared" si="0"/>
        <v>0.93989750000000005</v>
      </c>
    </row>
    <row r="16" spans="1:6">
      <c r="A16" s="30">
        <f t="shared" si="1"/>
        <v>450</v>
      </c>
      <c r="B16" s="30">
        <f t="shared" si="0"/>
        <v>0.93264749999999996</v>
      </c>
    </row>
    <row r="17" spans="1:2">
      <c r="A17" s="30">
        <f t="shared" si="1"/>
        <v>500</v>
      </c>
      <c r="B17" s="30">
        <f t="shared" si="0"/>
        <v>0.92539749999999998</v>
      </c>
    </row>
    <row r="18" spans="1:2">
      <c r="A18" s="30">
        <f t="shared" si="1"/>
        <v>550</v>
      </c>
      <c r="B18" s="30">
        <f t="shared" si="0"/>
        <v>0.91814750000000001</v>
      </c>
    </row>
    <row r="19" spans="1:2">
      <c r="A19" s="30">
        <f t="shared" si="1"/>
        <v>600</v>
      </c>
      <c r="B19" s="30">
        <f t="shared" si="0"/>
        <v>0.91089750000000003</v>
      </c>
    </row>
    <row r="20" spans="1:2">
      <c r="A20" s="30">
        <f t="shared" si="1"/>
        <v>650</v>
      </c>
      <c r="B20" s="30">
        <f t="shared" si="0"/>
        <v>0.90364750000000005</v>
      </c>
    </row>
    <row r="21" spans="1:2">
      <c r="A21" s="30">
        <f t="shared" si="1"/>
        <v>700</v>
      </c>
      <c r="B21" s="30">
        <f t="shared" si="0"/>
        <v>0.89639749999999996</v>
      </c>
    </row>
    <row r="22" spans="1:2">
      <c r="A22" s="30">
        <f t="shared" si="1"/>
        <v>750</v>
      </c>
      <c r="B22" s="30">
        <f t="shared" si="0"/>
        <v>0.88914749999999998</v>
      </c>
    </row>
    <row r="23" spans="1:2">
      <c r="A23" s="30">
        <f t="shared" si="1"/>
        <v>800</v>
      </c>
      <c r="B23" s="30">
        <f t="shared" si="0"/>
        <v>0.8818975</v>
      </c>
    </row>
    <row r="24" spans="1:2">
      <c r="A24" s="30">
        <f t="shared" si="1"/>
        <v>850</v>
      </c>
      <c r="B24" s="30">
        <f t="shared" si="0"/>
        <v>0.87464750000000002</v>
      </c>
    </row>
    <row r="25" spans="1:2">
      <c r="A25" s="30">
        <f t="shared" si="1"/>
        <v>900</v>
      </c>
      <c r="B25" s="30">
        <f t="shared" si="0"/>
        <v>0.86739750000000004</v>
      </c>
    </row>
    <row r="26" spans="1:2">
      <c r="A26" s="30">
        <f t="shared" si="1"/>
        <v>950</v>
      </c>
      <c r="B26" s="30">
        <f t="shared" si="0"/>
        <v>0.86014750000000006</v>
      </c>
    </row>
    <row r="27" spans="1:2">
      <c r="A27" s="30">
        <f t="shared" si="1"/>
        <v>1000</v>
      </c>
      <c r="B27" s="30">
        <f t="shared" si="0"/>
        <v>0.85289749999999998</v>
      </c>
    </row>
    <row r="28" spans="1:2">
      <c r="A28" s="30">
        <f t="shared" si="1"/>
        <v>1050</v>
      </c>
      <c r="B28" s="30">
        <f t="shared" si="0"/>
        <v>0.8456475</v>
      </c>
    </row>
    <row r="29" spans="1:2">
      <c r="A29" s="30">
        <f t="shared" si="1"/>
        <v>1100</v>
      </c>
      <c r="B29" s="30">
        <f t="shared" si="0"/>
        <v>0.83839750000000002</v>
      </c>
    </row>
    <row r="30" spans="1:2">
      <c r="A30" s="30">
        <f t="shared" si="1"/>
        <v>1150</v>
      </c>
      <c r="B30" s="30">
        <f t="shared" si="0"/>
        <v>0.83114750000000004</v>
      </c>
    </row>
    <row r="31" spans="1:2">
      <c r="A31" s="30">
        <f t="shared" si="1"/>
        <v>1200</v>
      </c>
      <c r="B31" s="30">
        <f t="shared" si="0"/>
        <v>0.82389749999999995</v>
      </c>
    </row>
    <row r="32" spans="1:2">
      <c r="A32" s="30">
        <f>A31+50</f>
        <v>1250</v>
      </c>
      <c r="B32" s="30">
        <f t="shared" si="0"/>
        <v>0.81664749999999997</v>
      </c>
    </row>
    <row r="33" spans="1:2">
      <c r="A33" s="33"/>
      <c r="B33" s="33"/>
    </row>
    <row r="34" spans="1:2">
      <c r="A34" s="33"/>
      <c r="B34" s="33"/>
    </row>
    <row r="35" spans="1:2">
      <c r="A35" s="33"/>
      <c r="B35" s="33"/>
    </row>
    <row r="36" spans="1:2">
      <c r="A36" s="33"/>
      <c r="B36" s="33"/>
    </row>
    <row r="37" spans="1:2">
      <c r="A37" s="33"/>
      <c r="B37" s="33"/>
    </row>
    <row r="38" spans="1:2">
      <c r="A38" s="33"/>
      <c r="B38" s="33"/>
    </row>
    <row r="39" spans="1:2">
      <c r="A39" s="33"/>
      <c r="B39" s="33"/>
    </row>
    <row r="40" spans="1:2">
      <c r="A40" s="33"/>
      <c r="B40" s="33"/>
    </row>
    <row r="41" spans="1:2">
      <c r="A41" s="33"/>
      <c r="B41" s="33"/>
    </row>
    <row r="42" spans="1:2">
      <c r="A42" s="33"/>
      <c r="B42" s="33"/>
    </row>
    <row r="43" spans="1:2">
      <c r="A43" s="33"/>
      <c r="B43" s="33"/>
    </row>
    <row r="44" spans="1:2">
      <c r="A44" s="33"/>
      <c r="B44" s="33"/>
    </row>
    <row r="45" spans="1:2">
      <c r="A45" s="33"/>
      <c r="B45" s="33"/>
    </row>
    <row r="46" spans="1:2">
      <c r="A46" s="33"/>
      <c r="B46" s="33"/>
    </row>
    <row r="47" spans="1:2">
      <c r="A47" s="33"/>
      <c r="B47" s="33"/>
    </row>
    <row r="48" spans="1:2">
      <c r="A48" s="33"/>
      <c r="B48" s="33"/>
    </row>
    <row r="49" spans="1:2">
      <c r="A49" s="33"/>
      <c r="B49" s="33"/>
    </row>
    <row r="50" spans="1:2">
      <c r="A50" s="33"/>
      <c r="B50" s="33"/>
    </row>
    <row r="51" spans="1:2">
      <c r="A51" s="33"/>
      <c r="B51" s="33"/>
    </row>
    <row r="52" spans="1:2">
      <c r="A52" s="33"/>
      <c r="B52" s="33"/>
    </row>
    <row r="53" spans="1:2">
      <c r="A53" s="33"/>
      <c r="B53" s="33"/>
    </row>
    <row r="54" spans="1:2">
      <c r="A54" s="33"/>
      <c r="B54" s="33"/>
    </row>
    <row r="55" spans="1:2">
      <c r="A55" s="33"/>
      <c r="B55" s="33"/>
    </row>
    <row r="56" spans="1:2">
      <c r="A56" s="33"/>
      <c r="B56" s="33"/>
    </row>
    <row r="57" spans="1:2">
      <c r="A57" s="33"/>
      <c r="B57" s="33"/>
    </row>
    <row r="58" spans="1:2">
      <c r="A58" s="33"/>
      <c r="B58" s="33"/>
    </row>
    <row r="59" spans="1:2">
      <c r="A59" s="33"/>
      <c r="B59" s="33"/>
    </row>
    <row r="60" spans="1:2">
      <c r="A60" s="33"/>
      <c r="B60" s="33"/>
    </row>
    <row r="61" spans="1:2">
      <c r="A61" s="33"/>
      <c r="B61" s="33"/>
    </row>
    <row r="62" spans="1:2">
      <c r="A62" s="33"/>
      <c r="B62" s="33"/>
    </row>
    <row r="63" spans="1:2">
      <c r="A63" s="33"/>
      <c r="B63" s="33"/>
    </row>
    <row r="64" spans="1:2">
      <c r="A64" s="33"/>
      <c r="B64" s="33"/>
    </row>
    <row r="65" spans="1:2">
      <c r="A65" s="33"/>
      <c r="B65" s="33"/>
    </row>
    <row r="66" spans="1:2">
      <c r="A66" s="33"/>
      <c r="B66" s="33"/>
    </row>
    <row r="67" spans="1:2">
      <c r="A67" s="33"/>
      <c r="B67" s="33"/>
    </row>
    <row r="68" spans="1:2">
      <c r="A68" s="33"/>
      <c r="B68" s="33"/>
    </row>
    <row r="69" spans="1:2">
      <c r="A69" s="33"/>
      <c r="B69" s="33"/>
    </row>
    <row r="70" spans="1:2">
      <c r="A70" s="33"/>
      <c r="B70" s="33"/>
    </row>
    <row r="71" spans="1:2">
      <c r="A71" s="33"/>
      <c r="B71" s="33"/>
    </row>
    <row r="72" spans="1:2">
      <c r="A72" s="33"/>
      <c r="B72" s="33"/>
    </row>
    <row r="73" spans="1:2">
      <c r="A73" s="33"/>
      <c r="B73" s="33"/>
    </row>
    <row r="74" spans="1:2">
      <c r="A74" s="33"/>
      <c r="B74" s="33"/>
    </row>
    <row r="75" spans="1:2">
      <c r="A75" s="33"/>
      <c r="B75" s="33"/>
    </row>
    <row r="76" spans="1:2">
      <c r="A76" s="33"/>
      <c r="B76" s="33"/>
    </row>
    <row r="77" spans="1:2">
      <c r="A77" s="33"/>
      <c r="B77" s="33"/>
    </row>
    <row r="78" spans="1:2">
      <c r="A78" s="33"/>
      <c r="B78" s="33"/>
    </row>
    <row r="79" spans="1:2">
      <c r="A79" s="33"/>
      <c r="B79" s="33"/>
    </row>
    <row r="80" spans="1:2">
      <c r="A80" s="33"/>
      <c r="B80" s="33"/>
    </row>
    <row r="81" spans="1:2">
      <c r="A81" s="33"/>
      <c r="B81" s="33"/>
    </row>
    <row r="82" spans="1:2">
      <c r="A82" s="33"/>
      <c r="B82" s="33"/>
    </row>
    <row r="83" spans="1:2">
      <c r="A83" s="33"/>
      <c r="B83" s="33"/>
    </row>
    <row r="84" spans="1:2">
      <c r="A84" s="33"/>
      <c r="B84" s="33"/>
    </row>
    <row r="85" spans="1:2">
      <c r="A85" s="33"/>
      <c r="B85" s="33"/>
    </row>
    <row r="86" spans="1:2">
      <c r="A86" s="33"/>
      <c r="B86" s="33"/>
    </row>
    <row r="87" spans="1:2">
      <c r="A87" s="33"/>
      <c r="B87" s="33"/>
    </row>
    <row r="88" spans="1:2">
      <c r="A88" s="33"/>
      <c r="B88" s="33"/>
    </row>
    <row r="89" spans="1:2">
      <c r="A89" s="33"/>
      <c r="B89" s="33"/>
    </row>
    <row r="90" spans="1:2">
      <c r="A90" s="33"/>
      <c r="B90" s="33"/>
    </row>
    <row r="91" spans="1:2">
      <c r="A91" s="33"/>
      <c r="B91" s="33"/>
    </row>
    <row r="92" spans="1:2">
      <c r="A92" s="33"/>
      <c r="B92" s="33"/>
    </row>
    <row r="93" spans="1:2">
      <c r="A93" s="33"/>
      <c r="B93" s="33"/>
    </row>
    <row r="94" spans="1:2">
      <c r="A94" s="33"/>
      <c r="B94" s="33"/>
    </row>
    <row r="95" spans="1:2">
      <c r="A95" s="33"/>
      <c r="B95" s="33"/>
    </row>
    <row r="96" spans="1:2">
      <c r="A96" s="33"/>
      <c r="B96" s="33"/>
    </row>
    <row r="97" spans="1:2">
      <c r="A97" s="33"/>
      <c r="B97" s="33"/>
    </row>
    <row r="98" spans="1:2">
      <c r="A98" s="33"/>
      <c r="B98" s="33"/>
    </row>
    <row r="99" spans="1:2">
      <c r="A99" s="33"/>
      <c r="B99" s="33"/>
    </row>
    <row r="100" spans="1:2">
      <c r="A100" s="33"/>
      <c r="B100" s="33"/>
    </row>
    <row r="101" spans="1:2">
      <c r="A101" s="33"/>
      <c r="B101" s="33"/>
    </row>
    <row r="102" spans="1:2">
      <c r="A102" s="33"/>
      <c r="B102" s="33"/>
    </row>
    <row r="103" spans="1:2">
      <c r="A103" s="33"/>
      <c r="B103" s="33"/>
    </row>
    <row r="104" spans="1:2">
      <c r="A104" s="33"/>
      <c r="B104" s="33"/>
    </row>
    <row r="105" spans="1:2">
      <c r="A105" s="33"/>
      <c r="B105" s="33"/>
    </row>
    <row r="106" spans="1:2">
      <c r="A106" s="33"/>
      <c r="B106" s="33"/>
    </row>
    <row r="107" spans="1:2">
      <c r="A107" s="33"/>
      <c r="B107" s="33"/>
    </row>
    <row r="108" spans="1:2">
      <c r="A108" s="33"/>
      <c r="B108" s="33"/>
    </row>
    <row r="109" spans="1:2">
      <c r="A109" s="33"/>
      <c r="B109" s="33"/>
    </row>
    <row r="110" spans="1:2">
      <c r="A110" s="33"/>
      <c r="B110" s="33"/>
    </row>
    <row r="111" spans="1:2">
      <c r="A111" s="33"/>
      <c r="B111" s="33"/>
    </row>
    <row r="112" spans="1:2">
      <c r="A112" s="33"/>
      <c r="B112" s="33"/>
    </row>
    <row r="113" spans="1:2">
      <c r="A113" s="33"/>
      <c r="B113" s="33"/>
    </row>
    <row r="114" spans="1:2">
      <c r="A114" s="33"/>
      <c r="B114" s="33"/>
    </row>
    <row r="115" spans="1:2">
      <c r="A115" s="33"/>
      <c r="B115" s="33"/>
    </row>
    <row r="116" spans="1:2">
      <c r="A116" s="33"/>
      <c r="B116" s="33"/>
    </row>
    <row r="117" spans="1:2">
      <c r="A117" s="33"/>
      <c r="B117" s="33"/>
    </row>
    <row r="118" spans="1:2">
      <c r="A118" s="33"/>
      <c r="B118" s="33"/>
    </row>
    <row r="119" spans="1:2">
      <c r="A119" s="33"/>
      <c r="B119" s="33"/>
    </row>
    <row r="120" spans="1:2">
      <c r="A120" s="33"/>
      <c r="B120" s="33"/>
    </row>
    <row r="121" spans="1:2">
      <c r="A121" s="33"/>
      <c r="B121" s="33"/>
    </row>
    <row r="122" spans="1:2">
      <c r="A122" s="33"/>
      <c r="B122" s="33"/>
    </row>
    <row r="123" spans="1:2">
      <c r="A123" s="33"/>
      <c r="B123" s="33"/>
    </row>
    <row r="124" spans="1:2">
      <c r="A124" s="33"/>
      <c r="B124" s="33"/>
    </row>
    <row r="125" spans="1:2">
      <c r="A125" s="33"/>
      <c r="B125" s="33"/>
    </row>
    <row r="126" spans="1:2">
      <c r="A126" s="33"/>
      <c r="B126" s="33"/>
    </row>
    <row r="127" spans="1:2">
      <c r="A127" s="33"/>
      <c r="B127" s="33"/>
    </row>
    <row r="128" spans="1:2">
      <c r="A128" s="33"/>
      <c r="B128" s="33"/>
    </row>
    <row r="129" spans="1:2">
      <c r="A129" s="33"/>
      <c r="B129" s="33"/>
    </row>
    <row r="130" spans="1:2">
      <c r="A130" s="33"/>
      <c r="B130" s="33"/>
    </row>
    <row r="131" spans="1:2">
      <c r="A131" s="33"/>
      <c r="B131" s="33"/>
    </row>
    <row r="132" spans="1:2">
      <c r="A132" s="33"/>
      <c r="B132" s="33"/>
    </row>
    <row r="133" spans="1:2">
      <c r="A133" s="33"/>
      <c r="B133" s="33"/>
    </row>
    <row r="134" spans="1:2">
      <c r="A134" s="33"/>
      <c r="B134" s="33"/>
    </row>
    <row r="135" spans="1:2">
      <c r="A135" s="33"/>
      <c r="B135" s="33"/>
    </row>
    <row r="136" spans="1:2">
      <c r="A136" s="33"/>
      <c r="B136" s="33"/>
    </row>
    <row r="137" spans="1:2">
      <c r="A137" s="33"/>
      <c r="B137" s="33"/>
    </row>
    <row r="138" spans="1:2">
      <c r="A138" s="33"/>
      <c r="B138" s="33"/>
    </row>
  </sheetData>
  <sheetProtection sheet="1" objects="1" scenarios="1"/>
  <mergeCells count="1">
    <mergeCell ref="C6:F7"/>
  </mergeCells>
  <phoneticPr fontId="1" type="noConversion"/>
  <pageMargins left="0.75" right="0.75" top="1" bottom="1" header="0.5" footer="0.5"/>
  <headerFooter alignWithMargins="0"/>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7</vt:i4>
      </vt:variant>
      <vt:variant>
        <vt:lpstr>Charts</vt:lpstr>
      </vt:variant>
      <vt:variant>
        <vt:i4>6</vt:i4>
      </vt:variant>
      <vt:variant>
        <vt:lpstr>Named Ranges</vt:lpstr>
      </vt:variant>
      <vt:variant>
        <vt:i4>18</vt:i4>
      </vt:variant>
    </vt:vector>
  </HeadingPairs>
  <TitlesOfParts>
    <vt:vector size="31" baseType="lpstr">
      <vt:lpstr>Gas Composition</vt:lpstr>
      <vt:lpstr>Z Calculation Method 1</vt:lpstr>
      <vt:lpstr>Z Calculation Method 2</vt:lpstr>
      <vt:lpstr>DATA - MW = 15.95 (Sp Gr= 0.55)</vt:lpstr>
      <vt:lpstr>DATA - MW = 17.40 (Sp Gr= 0.6)</vt:lpstr>
      <vt:lpstr>DATA - MW = 18.85 (Sp Gr= 0.65)</vt:lpstr>
      <vt:lpstr>Z Ratio - Velocity Sheet</vt:lpstr>
      <vt:lpstr>Z - Chart - MW = 15.95 (1)</vt:lpstr>
      <vt:lpstr>Z - Chart - MW = 15.95 (2)</vt:lpstr>
      <vt:lpstr>Z Chart - MW = 17.40 (1)</vt:lpstr>
      <vt:lpstr>Z Chart - MW = 17.40 (2)</vt:lpstr>
      <vt:lpstr>Z - Chart - MW = 18.85 (1)</vt:lpstr>
      <vt:lpstr>Z - Chart - MW = 18.85 (2)</vt:lpstr>
      <vt:lpstr>A</vt:lpstr>
      <vt:lpstr>B</vt:lpstr>
      <vt:lpstr>CO</vt:lpstr>
      <vt:lpstr>D</vt:lpstr>
      <vt:lpstr>F</vt:lpstr>
      <vt:lpstr>G</vt:lpstr>
      <vt:lpstr>H</vt:lpstr>
      <vt:lpstr>J</vt:lpstr>
      <vt:lpstr>K</vt:lpstr>
      <vt:lpstr>L</vt:lpstr>
      <vt:lpstr>N</vt:lpstr>
      <vt:lpstr>P</vt:lpstr>
      <vt:lpstr>Patm</vt:lpstr>
      <vt:lpstr>SG</vt:lpstr>
      <vt:lpstr>T</vt:lpstr>
      <vt:lpstr>X</vt:lpstr>
      <vt:lpstr>Y</vt:lpstr>
      <vt:lpstr>Z</vt:lpstr>
    </vt:vector>
  </TitlesOfParts>
  <Company>Williams</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Senior Engineer</dc:title>
  <dc:subject>Compressiblity Calculator</dc:subject>
  <dc:creator>M. Giles Hullinger, P.E.</dc:creator>
  <cp:keywords>Compressiblity Calculator</cp:keywords>
  <dc:description>Spreedsheet is PASSWORD PROTECTED. Password (697) is provided for user's convenience.
To unprotect sheet, go to Tools/Protection/Unprotect Sheet, then type in password.</dc:description>
  <cp:lastModifiedBy>markhul</cp:lastModifiedBy>
  <cp:lastPrinted>2010-02-04T00:06:00Z</cp:lastPrinted>
  <dcterms:created xsi:type="dcterms:W3CDTF">2007-02-12T17:20:52Z</dcterms:created>
  <dcterms:modified xsi:type="dcterms:W3CDTF">2013-05-16T22:54:13Z</dcterms:modified>
</cp:coreProperties>
</file>