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4220" windowHeight="8325" activeTab="2"/>
  </bookViews>
  <sheets>
    <sheet name="Light Bulb Cost Savings" sheetId="1" r:id="rId1"/>
    <sheet name="Water Savings" sheetId="3" r:id="rId2"/>
    <sheet name="Ceiling Fan Savings" sheetId="4" r:id="rId3"/>
  </sheets>
  <calcPr calcId="125725"/>
</workbook>
</file>

<file path=xl/calcChain.xml><?xml version="1.0" encoding="utf-8"?>
<calcChain xmlns="http://schemas.openxmlformats.org/spreadsheetml/2006/main">
  <c r="AG7" i="4"/>
  <c r="AG16" s="1"/>
  <c r="AC7"/>
  <c r="AC16" s="1"/>
  <c r="Y18"/>
  <c r="Y17"/>
  <c r="Y16"/>
  <c r="Y14"/>
  <c r="Y13"/>
  <c r="Y12"/>
  <c r="Y10"/>
  <c r="Y9"/>
  <c r="Y8"/>
  <c r="Y7"/>
  <c r="Y19" s="1"/>
  <c r="U7"/>
  <c r="U16" s="1"/>
  <c r="Q15"/>
  <c r="Q7"/>
  <c r="Q16" s="1"/>
  <c r="M7"/>
  <c r="M16" s="1"/>
  <c r="I19"/>
  <c r="I18"/>
  <c r="I17"/>
  <c r="I16"/>
  <c r="I15"/>
  <c r="I14"/>
  <c r="I13"/>
  <c r="I12"/>
  <c r="I11"/>
  <c r="I10"/>
  <c r="I9"/>
  <c r="I8"/>
  <c r="I7"/>
  <c r="G8" i="1"/>
  <c r="AG6" i="4"/>
  <c r="AC6"/>
  <c r="Y6"/>
  <c r="U6"/>
  <c r="Q6"/>
  <c r="M6"/>
  <c r="AG5"/>
  <c r="AC5"/>
  <c r="Y5"/>
  <c r="U5"/>
  <c r="Q5"/>
  <c r="M5"/>
  <c r="I5"/>
  <c r="G6" i="1"/>
  <c r="AG4" i="4"/>
  <c r="AC4"/>
  <c r="Y4"/>
  <c r="U4"/>
  <c r="Q4"/>
  <c r="M4"/>
  <c r="I4"/>
  <c r="AG3"/>
  <c r="AC3"/>
  <c r="Y3"/>
  <c r="J4" i="1"/>
  <c r="G27"/>
  <c r="J7"/>
  <c r="M7"/>
  <c r="J6"/>
  <c r="G25"/>
  <c r="G26"/>
  <c r="J23"/>
  <c r="J25"/>
  <c r="G24"/>
  <c r="J24" i="3"/>
  <c r="J26"/>
  <c r="J28"/>
  <c r="J29"/>
  <c r="J30"/>
  <c r="J32"/>
  <c r="J27"/>
  <c r="M27"/>
  <c r="J31"/>
  <c r="M31"/>
  <c r="G26"/>
  <c r="G28"/>
  <c r="M28"/>
  <c r="M26"/>
  <c r="G5"/>
  <c r="G6"/>
  <c r="J4"/>
  <c r="J5"/>
  <c r="J6"/>
  <c r="J7"/>
  <c r="J9"/>
  <c r="J8"/>
  <c r="M8"/>
  <c r="M4"/>
  <c r="M3"/>
  <c r="M6" i="1"/>
  <c r="M5"/>
  <c r="G28"/>
  <c r="G33"/>
  <c r="J8"/>
  <c r="G31"/>
  <c r="G30"/>
  <c r="G37"/>
  <c r="M25"/>
  <c r="J26"/>
  <c r="J24"/>
  <c r="M24"/>
  <c r="M4"/>
  <c r="J44" i="3"/>
  <c r="J40"/>
  <c r="J36"/>
  <c r="J45"/>
  <c r="J41"/>
  <c r="J37"/>
  <c r="J33"/>
  <c r="J42"/>
  <c r="J39"/>
  <c r="J34"/>
  <c r="J43"/>
  <c r="J38"/>
  <c r="J35"/>
  <c r="J21"/>
  <c r="J17"/>
  <c r="J14"/>
  <c r="J10"/>
  <c r="J20"/>
  <c r="J16"/>
  <c r="J11"/>
  <c r="J19"/>
  <c r="J15"/>
  <c r="J12"/>
  <c r="J22"/>
  <c r="J18"/>
  <c r="J13"/>
  <c r="J10" i="1"/>
  <c r="J16"/>
  <c r="J18"/>
  <c r="J11"/>
  <c r="J19"/>
  <c r="J12"/>
  <c r="J17"/>
  <c r="J13"/>
  <c r="J14"/>
  <c r="J20"/>
  <c r="J9"/>
  <c r="J15"/>
  <c r="G7" i="3"/>
  <c r="M6"/>
  <c r="G18" i="1"/>
  <c r="M18"/>
  <c r="M42"/>
  <c r="G11"/>
  <c r="M11"/>
  <c r="G9"/>
  <c r="G15"/>
  <c r="M15"/>
  <c r="M8"/>
  <c r="G10"/>
  <c r="G16"/>
  <c r="G19"/>
  <c r="G12"/>
  <c r="G17"/>
  <c r="G13"/>
  <c r="G14"/>
  <c r="G20"/>
  <c r="G34"/>
  <c r="G40"/>
  <c r="G29" i="3"/>
  <c r="J27" i="1"/>
  <c r="M27"/>
  <c r="G39"/>
  <c r="G29"/>
  <c r="M5" i="3"/>
  <c r="G35" i="1"/>
  <c r="M35"/>
  <c r="G38"/>
  <c r="M38"/>
  <c r="M10"/>
  <c r="J28"/>
  <c r="J29"/>
  <c r="M29"/>
  <c r="G36"/>
  <c r="M14"/>
  <c r="M19"/>
  <c r="G32"/>
  <c r="M26"/>
  <c r="G42"/>
  <c r="J42"/>
  <c r="G30" i="3"/>
  <c r="M29"/>
  <c r="J39" i="1"/>
  <c r="M39"/>
  <c r="J35"/>
  <c r="J38"/>
  <c r="J40"/>
  <c r="M40"/>
  <c r="J34"/>
  <c r="J37"/>
  <c r="M37"/>
  <c r="J32"/>
  <c r="M32"/>
  <c r="J31"/>
  <c r="M31"/>
  <c r="J30"/>
  <c r="M30"/>
  <c r="G9" i="3"/>
  <c r="M7"/>
  <c r="M20" i="1"/>
  <c r="M12"/>
  <c r="M28"/>
  <c r="M17"/>
  <c r="M34"/>
  <c r="M13"/>
  <c r="M16"/>
  <c r="M9"/>
  <c r="J36"/>
  <c r="M36"/>
  <c r="J33"/>
  <c r="M33"/>
  <c r="G32" i="3"/>
  <c r="M30"/>
  <c r="G18"/>
  <c r="M18"/>
  <c r="G11"/>
  <c r="M11"/>
  <c r="G21"/>
  <c r="M21"/>
  <c r="G17"/>
  <c r="M17"/>
  <c r="G12"/>
  <c r="M12"/>
  <c r="M9"/>
  <c r="G22"/>
  <c r="M22"/>
  <c r="G20"/>
  <c r="M20"/>
  <c r="G16"/>
  <c r="M16"/>
  <c r="G13"/>
  <c r="M13"/>
  <c r="G19"/>
  <c r="M19"/>
  <c r="G15"/>
  <c r="M15"/>
  <c r="G14"/>
  <c r="M14"/>
  <c r="G10"/>
  <c r="M10"/>
  <c r="G42"/>
  <c r="M42"/>
  <c r="G38"/>
  <c r="M38"/>
  <c r="G34"/>
  <c r="M34"/>
  <c r="G43"/>
  <c r="M43"/>
  <c r="G39"/>
  <c r="M39"/>
  <c r="G35"/>
  <c r="M35"/>
  <c r="M32"/>
  <c r="G44"/>
  <c r="M44"/>
  <c r="G40"/>
  <c r="M40"/>
  <c r="G36"/>
  <c r="M36"/>
  <c r="G45"/>
  <c r="M45"/>
  <c r="G41"/>
  <c r="M41"/>
  <c r="G37"/>
  <c r="M37"/>
  <c r="G33"/>
  <c r="M33"/>
  <c r="AG11" i="4" l="1"/>
  <c r="AG19"/>
  <c r="AG18"/>
  <c r="AG9"/>
  <c r="AG13"/>
  <c r="AG17"/>
  <c r="AG15"/>
  <c r="AG10"/>
  <c r="AG14"/>
  <c r="AG8"/>
  <c r="AG12"/>
  <c r="AC19"/>
  <c r="AC10"/>
  <c r="AC18"/>
  <c r="AC9"/>
  <c r="AC13"/>
  <c r="AC17"/>
  <c r="AC11"/>
  <c r="AC15"/>
  <c r="AC14"/>
  <c r="AC8"/>
  <c r="AC12"/>
  <c r="Y11"/>
  <c r="Y15"/>
  <c r="U11"/>
  <c r="U19"/>
  <c r="U18"/>
  <c r="U9"/>
  <c r="U13"/>
  <c r="U17"/>
  <c r="U15"/>
  <c r="U10"/>
  <c r="U14"/>
  <c r="U8"/>
  <c r="U12"/>
  <c r="Q11"/>
  <c r="Q19"/>
  <c r="Q10"/>
  <c r="Q14"/>
  <c r="Q9"/>
  <c r="Q13"/>
  <c r="Q17"/>
  <c r="Q18"/>
  <c r="Q8"/>
  <c r="Q12"/>
  <c r="M11"/>
  <c r="M19"/>
  <c r="M18"/>
  <c r="M9"/>
  <c r="M13"/>
  <c r="M17"/>
  <c r="M15"/>
  <c r="M10"/>
  <c r="M14"/>
  <c r="M8"/>
  <c r="M12"/>
</calcChain>
</file>

<file path=xl/sharedStrings.xml><?xml version="1.0" encoding="utf-8"?>
<sst xmlns="http://schemas.openxmlformats.org/spreadsheetml/2006/main" count="460" uniqueCount="118">
  <si>
    <t>W</t>
  </si>
  <si>
    <t>Used for one hour is:</t>
  </si>
  <si>
    <t>$</t>
  </si>
  <si>
    <t>Total Price of Light Bulb use for 1 hr:</t>
  </si>
  <si>
    <t>kWh</t>
  </si>
  <si>
    <t>$/kWh</t>
  </si>
  <si>
    <t>Current Bulbs</t>
  </si>
  <si>
    <t>New Flourescent Bulbs</t>
  </si>
  <si>
    <t>Current Price per kWh (shown on monthly bill):</t>
  </si>
  <si>
    <t>Wattage Rating of Light Bulb:</t>
  </si>
  <si>
    <t>Total Price of Light Bulb use for 1000 hrs ( 42 days ):</t>
  </si>
  <si>
    <t>Total Price of Light Bulb use for 500 hrs ( 21 days ):</t>
  </si>
  <si>
    <t>Total Price of Light Bulb use for 100 hrs ( 4 days ):</t>
  </si>
  <si>
    <t>Total Price of Light Bulb use for 5000 hrs ( 209 days ):</t>
  </si>
  <si>
    <t>Total Price of Light Bulb use for 2500 hrs ( 104 days ):</t>
  </si>
  <si>
    <t>bulbs</t>
  </si>
  <si>
    <t>Total Price of Light use for 1 hr:</t>
  </si>
  <si>
    <t>Total Price of Light use for 100 hrs ( 4 days ):</t>
  </si>
  <si>
    <t>Total Price of Light use for 500 hrs ( 21 days ):</t>
  </si>
  <si>
    <t>Total Price of Light use for 1000 hrs ( 42 days ):</t>
  </si>
  <si>
    <t>Total Price of Light use for 2500 hrs ( 104 days ):</t>
  </si>
  <si>
    <t>Total Price of Light use for 5000 hrs ( 209 days ):</t>
  </si>
  <si>
    <t>Total Wattage of Light Bulbs:</t>
  </si>
  <si>
    <t>Difference</t>
  </si>
  <si>
    <t>savings</t>
  </si>
  <si>
    <t>1 Light Bulb</t>
  </si>
  <si>
    <t>Total Household Bulbs</t>
  </si>
  <si>
    <t>**A regular Light bulb emits it's rated wattage but most of it is lost to heat instead of light, flourescent bulbs emit more light per wattage…more efficient</t>
  </si>
  <si>
    <t>ft^3</t>
  </si>
  <si>
    <t>Water Savings with Low-Flow Showerheads</t>
  </si>
  <si>
    <t>Current Showerhead</t>
  </si>
  <si>
    <t>New Showerhead</t>
  </si>
  <si>
    <t>Flow of Showerhead per minute</t>
  </si>
  <si>
    <t>gal / min</t>
  </si>
  <si>
    <t>Current Price per Unit (shown on monthly bill):</t>
  </si>
  <si>
    <t>$ / unit</t>
  </si>
  <si>
    <t>gal</t>
  </si>
  <si>
    <t>min</t>
  </si>
  <si>
    <t>Volume of Water Used in a Shower:</t>
  </si>
  <si>
    <t>which is:</t>
  </si>
  <si>
    <t>units</t>
  </si>
  <si>
    <t>Used for 1 minute:</t>
  </si>
  <si>
    <t>Total Price of Shower for 1 min:</t>
  </si>
  <si>
    <t>1 Shower</t>
  </si>
  <si>
    <t>Total Price of Shower for 5 minutes is:</t>
  </si>
  <si>
    <t>Total Price of Shower for 7 minutes is:</t>
  </si>
  <si>
    <t>Total Price of Shower for 10 minutes is:</t>
  </si>
  <si>
    <t>Total Price of Shower for 15 minutes is:</t>
  </si>
  <si>
    <t>Total Price of Shower for 20 minutes is ( 2 showers ):</t>
  </si>
  <si>
    <t>Total Price of Shower for 70 minutes is ( 7 showers, 1 week ):</t>
  </si>
  <si>
    <t>Total Showers</t>
  </si>
  <si>
    <t>Total Price of Shower for 300 minutes is ( 30 showers, 1 month ):</t>
  </si>
  <si>
    <t>Total Price of Shower for 3650 minutes is ( 365 showers, 1 year ):</t>
  </si>
  <si>
    <t>Total Price of Shower for 7300 minutes is ( 730 showers, 2 years ):</t>
  </si>
  <si>
    <t>Total Price of Shower for 10950 minutes is ( 1095 showers, 3 years ):</t>
  </si>
  <si>
    <t>Total Price of Shower for 14600 minutes is ( 1460 showers, 4 years ):</t>
  </si>
  <si>
    <t>Total Price of Shower for 18250 minutes is ( 1825 showers, 5 years ):</t>
  </si>
  <si>
    <t>Total Price of Shower for 36500 minutes is ( 3650 showers, 10 years ):</t>
  </si>
  <si>
    <t>**Cost of a Unit of Water is Actually Quite Cheap.  The Majority of Costs Associated with a Water Bill are Fees, Services, Sewer, and/or Garbarge.</t>
  </si>
  <si>
    <t>How many Shower Heads of Like Kind are Used in the House?</t>
  </si>
  <si>
    <t>shwrhead</t>
  </si>
  <si>
    <t>Cost Per Bulb:</t>
  </si>
  <si>
    <t>$/Bulb</t>
  </si>
  <si>
    <t>Cost For All Bulbs:</t>
  </si>
  <si>
    <t>Total Price of Light Bulb use for 720 hrs ( 30 days - 1 Month ):</t>
  </si>
  <si>
    <t>Total Price of Light Bulb use for 6000 hrs ( 250 days ):</t>
  </si>
  <si>
    <t>Total Price of Light Bulb use for 26280 hrs ( 1095 days - 3 years ):</t>
  </si>
  <si>
    <t>Total Price of Light Bulb use for 30000 hrs ( 1250 days - 5 years ):</t>
  </si>
  <si>
    <t>Total Price of Light Bulb use for 8760 hrs ( 365 days - 1 year ):</t>
  </si>
  <si>
    <t>Total Price of Light use for 720 hrs ( 30 days - 1 Month ):</t>
  </si>
  <si>
    <t>Total Price of Light Bulb use for 168 hrs ( 7 days - 1 week ):</t>
  </si>
  <si>
    <t>Total Price of Light use for 168 hrs ( 7 days - 1 week ):</t>
  </si>
  <si>
    <t>Total Price of Light use for 6000 hrs ( 250 days ):</t>
  </si>
  <si>
    <t>Total Price of Light use for 8760 hrs ( 365 days - 1 year ):</t>
  </si>
  <si>
    <t>Total Price of Light use for 26280 hrs ( 1095 days - 3 years ):</t>
  </si>
  <si>
    <t>Total Price of Light use for 30000 hrs ( 1250 days - 5 years ):</t>
  </si>
  <si>
    <t>more</t>
  </si>
  <si>
    <t>How Many Light Bulbs of Like Kind Are Used In The house?</t>
  </si>
  <si>
    <t>**The Extra Cost of Buying Flourescent Light Bulbs is Paid Off in:</t>
  </si>
  <si>
    <r>
      <t>Hours</t>
    </r>
    <r>
      <rPr>
        <sz val="9"/>
        <rFont val="Arial"/>
        <family val="2"/>
      </rPr>
      <t xml:space="preserve"> which is:</t>
    </r>
  </si>
  <si>
    <t>Flourescent Light Bulb Energy Savings</t>
  </si>
  <si>
    <r>
      <t xml:space="preserve">Days </t>
    </r>
    <r>
      <rPr>
        <sz val="9"/>
        <rFont val="Arial"/>
        <family val="2"/>
      </rPr>
      <t>which is a:</t>
    </r>
  </si>
  <si>
    <t>$/hr</t>
  </si>
  <si>
    <t>$/day</t>
  </si>
  <si>
    <t>Total Price of Light Bulb use for 24 hrs - 1 day:</t>
  </si>
  <si>
    <t>Total Price of Light use for 24 hrs - 1 day:</t>
  </si>
  <si>
    <t>Annual Return on Cost</t>
  </si>
  <si>
    <t>which is  ( 1 unit = 100 ft^3 ):</t>
  </si>
  <si>
    <t>Ceiling Fan Savings</t>
  </si>
  <si>
    <t>W =</t>
  </si>
  <si>
    <t>Amps</t>
  </si>
  <si>
    <t>Lights Only</t>
  </si>
  <si>
    <t>1st Setting (Lights)</t>
  </si>
  <si>
    <t>2nd Setting (Lights)</t>
  </si>
  <si>
    <t>3rd Setting (Lights)</t>
  </si>
  <si>
    <t>1st Setting (No Lights)</t>
  </si>
  <si>
    <t>2nd Setting (No Lights)</t>
  </si>
  <si>
    <t>3rd Setting (No Lights)</t>
  </si>
  <si>
    <t>I =</t>
  </si>
  <si>
    <t>Watt</t>
  </si>
  <si>
    <t>Measured Current of Ceiling Fan:</t>
  </si>
  <si>
    <t>Watts:</t>
  </si>
  <si>
    <t>Current Price per kWh (Shown On Monthly Bill):</t>
  </si>
  <si>
    <t>$ =</t>
  </si>
  <si>
    <t>Total Price of Fan Use for 1 hr:</t>
  </si>
  <si>
    <t>$/h</t>
  </si>
  <si>
    <t>Total Price of Fan use for 24 hrs - 1 day:</t>
  </si>
  <si>
    <t>Total Price of Fan use for 100 hrs ( 4 days ):</t>
  </si>
  <si>
    <t>Total Price of Fan use for 168 hrs ( 7 days - 1 week ):</t>
  </si>
  <si>
    <t>Total Price of Fan use for 500 hrs ( 21 days ):</t>
  </si>
  <si>
    <t>Total Price of Fan use for 720 hrs ( 30 days - 1 Month ):</t>
  </si>
  <si>
    <t>Total Price of Fan use for 1000 hrs ( 42 days ):</t>
  </si>
  <si>
    <t>Total Price of Fan use for 2500 hrs ( 104 days ):</t>
  </si>
  <si>
    <t>Total Price of Fan use for 5000 hrs ( 209 days ):</t>
  </si>
  <si>
    <t>Total Price of Fan use for 6000 hrs ( 250 days ):</t>
  </si>
  <si>
    <t>Total Price of Fan use for 8760 hrs ( 365 days - 1 year ):</t>
  </si>
  <si>
    <t>Total Price of Fan use for 26280 hrs ( 1095 days - 3 years ):</t>
  </si>
  <si>
    <t>Total Price of Fan use for 30000 hrs ( 1250 days - 5 years ):</t>
  </si>
</sst>
</file>

<file path=xl/styles.xml><?xml version="1.0" encoding="utf-8"?>
<styleSheet xmlns="http://schemas.openxmlformats.org/spreadsheetml/2006/main">
  <numFmts count="5">
    <numFmt numFmtId="164" formatCode="&quot;$&quot;#,##0.0000000"/>
    <numFmt numFmtId="165" formatCode="&quot;$&quot;#,##0.00"/>
    <numFmt numFmtId="166" formatCode="&quot;$&quot;#,##0.000"/>
    <numFmt numFmtId="167" formatCode="0.000"/>
    <numFmt numFmtId="168" formatCode="&quot;$&quot;#,##0.00000"/>
  </numFmts>
  <fonts count="11">
    <font>
      <sz val="10"/>
      <name val="Arial"/>
    </font>
    <font>
      <sz val="8"/>
      <name val="Arial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color indexed="17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1" xfId="0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4" xfId="0" applyFont="1" applyBorder="1"/>
    <xf numFmtId="164" fontId="3" fillId="2" borderId="3" xfId="0" applyNumberFormat="1" applyFont="1" applyFill="1" applyBorder="1"/>
    <xf numFmtId="165" fontId="3" fillId="2" borderId="3" xfId="0" applyNumberFormat="1" applyFont="1" applyFill="1" applyBorder="1"/>
    <xf numFmtId="165" fontId="3" fillId="0" borderId="3" xfId="0" applyNumberFormat="1" applyFont="1" applyBorder="1"/>
    <xf numFmtId="0" fontId="3" fillId="0" borderId="3" xfId="0" applyFont="1" applyBorder="1"/>
    <xf numFmtId="165" fontId="3" fillId="2" borderId="5" xfId="0" applyNumberFormat="1" applyFont="1" applyFill="1" applyBorder="1"/>
    <xf numFmtId="0" fontId="3" fillId="0" borderId="6" xfId="0" applyFont="1" applyBorder="1"/>
    <xf numFmtId="0" fontId="4" fillId="0" borderId="0" xfId="0" applyFont="1"/>
    <xf numFmtId="0" fontId="3" fillId="3" borderId="2" xfId="0" applyFont="1" applyFill="1" applyBorder="1" applyProtection="1">
      <protection locked="0"/>
    </xf>
    <xf numFmtId="164" fontId="3" fillId="3" borderId="3" xfId="0" applyNumberFormat="1" applyFont="1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166" fontId="3" fillId="3" borderId="3" xfId="0" applyNumberFormat="1" applyFont="1" applyFill="1" applyBorder="1" applyProtection="1">
      <protection locked="0"/>
    </xf>
    <xf numFmtId="166" fontId="3" fillId="2" borderId="3" xfId="0" applyNumberFormat="1" applyFont="1" applyFill="1" applyBorder="1"/>
    <xf numFmtId="167" fontId="3" fillId="2" borderId="3" xfId="0" applyNumberFormat="1" applyFont="1" applyFill="1" applyBorder="1"/>
    <xf numFmtId="0" fontId="3" fillId="0" borderId="0" xfId="0" applyFont="1" applyFill="1"/>
    <xf numFmtId="168" fontId="3" fillId="0" borderId="3" xfId="0" applyNumberFormat="1" applyFont="1" applyFill="1" applyBorder="1"/>
    <xf numFmtId="0" fontId="3" fillId="0" borderId="4" xfId="0" applyFont="1" applyFill="1" applyBorder="1"/>
    <xf numFmtId="0" fontId="2" fillId="0" borderId="0" xfId="0" applyFont="1" applyBorder="1" applyAlignment="1">
      <alignment horizontal="center" vertical="center" textRotation="90"/>
    </xf>
    <xf numFmtId="0" fontId="3" fillId="2" borderId="3" xfId="0" applyFont="1" applyFill="1" applyBorder="1" applyProtection="1">
      <protection locked="0"/>
    </xf>
    <xf numFmtId="166" fontId="3" fillId="2" borderId="3" xfId="0" applyNumberFormat="1" applyFont="1" applyFill="1" applyBorder="1" applyProtection="1">
      <protection locked="0"/>
    </xf>
    <xf numFmtId="165" fontId="3" fillId="3" borderId="2" xfId="0" applyNumberFormat="1" applyFont="1" applyFill="1" applyBorder="1"/>
    <xf numFmtId="165" fontId="3" fillId="2" borderId="2" xfId="0" applyNumberFormat="1" applyFont="1" applyFill="1" applyBorder="1"/>
    <xf numFmtId="165" fontId="2" fillId="2" borderId="3" xfId="0" applyNumberFormat="1" applyFont="1" applyFill="1" applyBorder="1"/>
    <xf numFmtId="0" fontId="2" fillId="0" borderId="4" xfId="0" applyFont="1" applyBorder="1"/>
    <xf numFmtId="165" fontId="2" fillId="2" borderId="5" xfId="0" applyNumberFormat="1" applyFont="1" applyFill="1" applyBorder="1"/>
    <xf numFmtId="0" fontId="2" fillId="0" borderId="6" xfId="0" applyFont="1" applyBorder="1"/>
    <xf numFmtId="2" fontId="2" fillId="0" borderId="0" xfId="0" applyNumberFormat="1" applyFont="1"/>
    <xf numFmtId="10" fontId="5" fillId="0" borderId="0" xfId="0" applyNumberFormat="1" applyFont="1"/>
    <xf numFmtId="167" fontId="2" fillId="2" borderId="3" xfId="0" applyNumberFormat="1" applyFont="1" applyFill="1" applyBorder="1"/>
    <xf numFmtId="167" fontId="3" fillId="2" borderId="5" xfId="0" applyNumberFormat="1" applyFont="1" applyFill="1" applyBorder="1"/>
    <xf numFmtId="167" fontId="3" fillId="0" borderId="0" xfId="0" applyNumberFormat="1" applyFont="1"/>
    <xf numFmtId="167" fontId="2" fillId="2" borderId="5" xfId="0" applyNumberFormat="1" applyFont="1" applyFill="1" applyBorder="1"/>
    <xf numFmtId="0" fontId="6" fillId="0" borderId="0" xfId="0" applyFont="1"/>
    <xf numFmtId="0" fontId="4" fillId="0" borderId="0" xfId="0" applyFont="1" applyAlignment="1">
      <alignment vertical="center"/>
    </xf>
    <xf numFmtId="165" fontId="7" fillId="2" borderId="3" xfId="0" applyNumberFormat="1" applyFont="1" applyFill="1" applyBorder="1"/>
    <xf numFmtId="165" fontId="8" fillId="2" borderId="3" xfId="0" applyNumberFormat="1" applyFont="1" applyFill="1" applyBorder="1"/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"/>
  <sheetViews>
    <sheetView zoomScale="90" workbookViewId="0">
      <selection activeCell="B9" sqref="B9:B20"/>
    </sheetView>
  </sheetViews>
  <sheetFormatPr defaultRowHeight="12"/>
  <cols>
    <col min="1" max="1" width="3.28515625" style="2" customWidth="1"/>
    <col min="2" max="3" width="9.140625" style="2"/>
    <col min="4" max="4" width="12.140625" style="2" customWidth="1"/>
    <col min="5" max="5" width="11.85546875" style="2" customWidth="1"/>
    <col min="6" max="6" width="14.28515625" style="2" customWidth="1"/>
    <col min="7" max="7" width="10.5703125" style="2" bestFit="1" customWidth="1"/>
    <col min="8" max="8" width="9.140625" style="2"/>
    <col min="9" max="9" width="3.85546875" style="2" customWidth="1"/>
    <col min="10" max="10" width="11.42578125" style="2" customWidth="1"/>
    <col min="11" max="11" width="10" style="2" customWidth="1"/>
    <col min="12" max="12" width="4.140625" style="2" customWidth="1"/>
    <col min="13" max="13" width="10.42578125" style="2" bestFit="1" customWidth="1"/>
    <col min="14" max="16384" width="9.140625" style="2"/>
  </cols>
  <sheetData>
    <row r="1" spans="1:14" ht="15.75">
      <c r="B1" s="39" t="s">
        <v>80</v>
      </c>
    </row>
    <row r="2" spans="1:14" ht="12.75" thickBot="1"/>
    <row r="3" spans="1:14" ht="12.75" thickTop="1">
      <c r="G3" s="46" t="s">
        <v>6</v>
      </c>
      <c r="H3" s="47"/>
      <c r="J3" s="46" t="s">
        <v>7</v>
      </c>
      <c r="K3" s="47"/>
      <c r="L3" s="3"/>
      <c r="M3" s="46" t="s">
        <v>23</v>
      </c>
      <c r="N3" s="47"/>
    </row>
    <row r="4" spans="1:14" ht="12.75" customHeight="1">
      <c r="A4" s="43" t="s">
        <v>25</v>
      </c>
      <c r="B4" s="2" t="s">
        <v>61</v>
      </c>
      <c r="G4" s="27">
        <v>0.7</v>
      </c>
      <c r="H4" s="4" t="s">
        <v>62</v>
      </c>
      <c r="J4" s="27">
        <f>11.44/6</f>
        <v>1.9066666666666665</v>
      </c>
      <c r="K4" s="4" t="s">
        <v>62</v>
      </c>
      <c r="M4" s="28">
        <f>J4-G4</f>
        <v>1.2066666666666666</v>
      </c>
      <c r="N4" s="4" t="s">
        <v>62</v>
      </c>
    </row>
    <row r="5" spans="1:14" ht="12" customHeight="1">
      <c r="A5" s="44"/>
      <c r="B5" s="2" t="s">
        <v>9</v>
      </c>
      <c r="G5" s="17">
        <v>60</v>
      </c>
      <c r="H5" s="7" t="s">
        <v>0</v>
      </c>
      <c r="J5" s="17">
        <v>13</v>
      </c>
      <c r="K5" s="7" t="s">
        <v>0</v>
      </c>
      <c r="M5" s="6">
        <f>G5-J5</f>
        <v>47</v>
      </c>
      <c r="N5" s="7" t="s">
        <v>0</v>
      </c>
    </row>
    <row r="6" spans="1:14">
      <c r="A6" s="44"/>
      <c r="C6" s="2" t="s">
        <v>1</v>
      </c>
      <c r="G6" s="6">
        <f>G5/1000</f>
        <v>0.06</v>
      </c>
      <c r="H6" s="7" t="s">
        <v>4</v>
      </c>
      <c r="J6" s="6">
        <f>J5/1000</f>
        <v>1.2999999999999999E-2</v>
      </c>
      <c r="K6" s="7" t="s">
        <v>4</v>
      </c>
      <c r="M6" s="6">
        <f t="shared" ref="M6:M20" si="0">G6-J6</f>
        <v>4.7E-2</v>
      </c>
      <c r="N6" s="7" t="s">
        <v>4</v>
      </c>
    </row>
    <row r="7" spans="1:14">
      <c r="A7" s="44"/>
      <c r="B7" s="2" t="s">
        <v>8</v>
      </c>
      <c r="G7" s="16">
        <v>8.4003999999999995E-2</v>
      </c>
      <c r="H7" s="7" t="s">
        <v>5</v>
      </c>
      <c r="J7" s="8">
        <f>G7</f>
        <v>8.4003999999999995E-2</v>
      </c>
      <c r="K7" s="7" t="s">
        <v>5</v>
      </c>
      <c r="M7" s="6">
        <f t="shared" si="0"/>
        <v>0</v>
      </c>
      <c r="N7" s="7" t="s">
        <v>5</v>
      </c>
    </row>
    <row r="8" spans="1:14">
      <c r="A8" s="44"/>
      <c r="B8" s="2" t="s">
        <v>3</v>
      </c>
      <c r="G8" s="8">
        <f>G6*G7</f>
        <v>5.0402399999999997E-3</v>
      </c>
      <c r="H8" s="7" t="s">
        <v>82</v>
      </c>
      <c r="J8" s="8">
        <f>J6*J7</f>
        <v>1.0920519999999998E-3</v>
      </c>
      <c r="K8" s="7" t="s">
        <v>82</v>
      </c>
      <c r="M8" s="8">
        <f t="shared" si="0"/>
        <v>3.948188E-3</v>
      </c>
      <c r="N8" s="7" t="s">
        <v>82</v>
      </c>
    </row>
    <row r="9" spans="1:14">
      <c r="A9" s="44"/>
      <c r="B9" s="1" t="s">
        <v>84</v>
      </c>
      <c r="G9" s="9">
        <f>G8*24</f>
        <v>0.12096575999999999</v>
      </c>
      <c r="H9" s="7" t="s">
        <v>83</v>
      </c>
      <c r="J9" s="9">
        <f>J8*24</f>
        <v>2.6209247999999997E-2</v>
      </c>
      <c r="K9" s="7" t="s">
        <v>83</v>
      </c>
      <c r="M9" s="29">
        <f t="shared" si="0"/>
        <v>9.4756511999999987E-2</v>
      </c>
      <c r="N9" s="30" t="s">
        <v>24</v>
      </c>
    </row>
    <row r="10" spans="1:14">
      <c r="A10" s="44"/>
      <c r="B10" s="2" t="s">
        <v>12</v>
      </c>
      <c r="G10" s="9">
        <f>G8*100</f>
        <v>0.50402399999999992</v>
      </c>
      <c r="H10" s="7"/>
      <c r="J10" s="9">
        <f>J8*100</f>
        <v>0.10920519999999999</v>
      </c>
      <c r="K10" s="7"/>
      <c r="M10" s="9">
        <f t="shared" si="0"/>
        <v>0.39481879999999991</v>
      </c>
      <c r="N10" s="7" t="s">
        <v>24</v>
      </c>
    </row>
    <row r="11" spans="1:14">
      <c r="A11" s="44"/>
      <c r="B11" s="1" t="s">
        <v>70</v>
      </c>
      <c r="G11" s="9">
        <f>G8*168</f>
        <v>0.8467603199999999</v>
      </c>
      <c r="H11" s="7"/>
      <c r="J11" s="9">
        <f>J8*168</f>
        <v>0.18346473599999996</v>
      </c>
      <c r="K11" s="7"/>
      <c r="M11" s="29">
        <f>G11-J11</f>
        <v>0.66329558399999988</v>
      </c>
      <c r="N11" s="30" t="s">
        <v>24</v>
      </c>
    </row>
    <row r="12" spans="1:14">
      <c r="A12" s="44"/>
      <c r="B12" s="2" t="s">
        <v>11</v>
      </c>
      <c r="G12" s="9">
        <f>G8*500</f>
        <v>2.5201199999999999</v>
      </c>
      <c r="H12" s="7"/>
      <c r="J12" s="9">
        <f>J8*500</f>
        <v>0.5460259999999999</v>
      </c>
      <c r="K12" s="7"/>
      <c r="M12" s="9">
        <f t="shared" si="0"/>
        <v>1.974094</v>
      </c>
      <c r="N12" s="7" t="s">
        <v>24</v>
      </c>
    </row>
    <row r="13" spans="1:14">
      <c r="A13" s="44"/>
      <c r="B13" s="1" t="s">
        <v>64</v>
      </c>
      <c r="G13" s="9">
        <f>G8*720</f>
        <v>3.6289727999999997</v>
      </c>
      <c r="H13" s="7"/>
      <c r="J13" s="9">
        <f>J8*720</f>
        <v>0.78627743999999988</v>
      </c>
      <c r="K13" s="7"/>
      <c r="M13" s="29">
        <f t="shared" si="0"/>
        <v>2.8426953599999996</v>
      </c>
      <c r="N13" s="30" t="s">
        <v>24</v>
      </c>
    </row>
    <row r="14" spans="1:14">
      <c r="A14" s="44"/>
      <c r="B14" s="2" t="s">
        <v>10</v>
      </c>
      <c r="G14" s="9">
        <f>G8*1000</f>
        <v>5.0402399999999998</v>
      </c>
      <c r="H14" s="7"/>
      <c r="J14" s="9">
        <f>J8*1000</f>
        <v>1.0920519999999998</v>
      </c>
      <c r="K14" s="7"/>
      <c r="M14" s="9">
        <f t="shared" si="0"/>
        <v>3.948188</v>
      </c>
      <c r="N14" s="7" t="s">
        <v>24</v>
      </c>
    </row>
    <row r="15" spans="1:14">
      <c r="A15" s="44"/>
      <c r="B15" s="2" t="s">
        <v>14</v>
      </c>
      <c r="G15" s="9">
        <f>G8*2500</f>
        <v>12.600599999999998</v>
      </c>
      <c r="H15" s="7"/>
      <c r="J15" s="9">
        <f>J8*2500</f>
        <v>2.7301299999999995</v>
      </c>
      <c r="K15" s="7"/>
      <c r="M15" s="9">
        <f t="shared" si="0"/>
        <v>9.8704699999999992</v>
      </c>
      <c r="N15" s="7" t="s">
        <v>24</v>
      </c>
    </row>
    <row r="16" spans="1:14">
      <c r="A16" s="44"/>
      <c r="B16" s="2" t="s">
        <v>13</v>
      </c>
      <c r="G16" s="9">
        <f>G8*5000</f>
        <v>25.201199999999996</v>
      </c>
      <c r="H16" s="7"/>
      <c r="J16" s="9">
        <f>J8*5000</f>
        <v>5.460259999999999</v>
      </c>
      <c r="K16" s="7"/>
      <c r="M16" s="9">
        <f t="shared" si="0"/>
        <v>19.740939999999998</v>
      </c>
      <c r="N16" s="7" t="s">
        <v>24</v>
      </c>
    </row>
    <row r="17" spans="1:14">
      <c r="A17" s="44"/>
      <c r="B17" s="2" t="s">
        <v>65</v>
      </c>
      <c r="G17" s="9">
        <f>G8*6000</f>
        <v>30.241439999999997</v>
      </c>
      <c r="H17" s="7"/>
      <c r="J17" s="9">
        <f>J8*6000</f>
        <v>6.5523119999999988</v>
      </c>
      <c r="K17" s="7"/>
      <c r="M17" s="9">
        <f t="shared" si="0"/>
        <v>23.689127999999997</v>
      </c>
      <c r="N17" s="7" t="s">
        <v>24</v>
      </c>
    </row>
    <row r="18" spans="1:14">
      <c r="A18" s="44"/>
      <c r="B18" s="1" t="s">
        <v>68</v>
      </c>
      <c r="G18" s="9">
        <f>G8*8760</f>
        <v>44.152502399999996</v>
      </c>
      <c r="H18" s="7"/>
      <c r="J18" s="9">
        <f>J8*8760</f>
        <v>9.5663755199999976</v>
      </c>
      <c r="K18" s="7"/>
      <c r="M18" s="29">
        <f>G18-J18</f>
        <v>34.586126879999995</v>
      </c>
      <c r="N18" s="30" t="s">
        <v>24</v>
      </c>
    </row>
    <row r="19" spans="1:14">
      <c r="A19" s="44"/>
      <c r="B19" s="1" t="s">
        <v>66</v>
      </c>
      <c r="G19" s="9">
        <f>G8*26280</f>
        <v>132.45750719999998</v>
      </c>
      <c r="H19" s="7"/>
      <c r="J19" s="9">
        <f>J8*26280</f>
        <v>28.699126559999996</v>
      </c>
      <c r="K19" s="7"/>
      <c r="M19" s="29">
        <f>G19-J19</f>
        <v>103.75838063999998</v>
      </c>
      <c r="N19" s="30" t="s">
        <v>24</v>
      </c>
    </row>
    <row r="20" spans="1:14">
      <c r="A20" s="45"/>
      <c r="B20" s="1" t="s">
        <v>67</v>
      </c>
      <c r="G20" s="9">
        <f>G8*30000</f>
        <v>151.2072</v>
      </c>
      <c r="H20" s="7"/>
      <c r="J20" s="9">
        <f>J8*30000</f>
        <v>32.761559999999996</v>
      </c>
      <c r="K20" s="7"/>
      <c r="M20" s="29">
        <f t="shared" si="0"/>
        <v>118.44564</v>
      </c>
      <c r="N20" s="30" t="s">
        <v>24</v>
      </c>
    </row>
    <row r="21" spans="1:14">
      <c r="G21" s="10"/>
      <c r="H21" s="7"/>
      <c r="J21" s="10"/>
      <c r="K21" s="7"/>
      <c r="M21" s="11"/>
      <c r="N21" s="7"/>
    </row>
    <row r="22" spans="1:14">
      <c r="G22" s="11"/>
      <c r="H22" s="7"/>
      <c r="J22" s="11"/>
      <c r="K22" s="7"/>
      <c r="M22" s="11"/>
      <c r="N22" s="7"/>
    </row>
    <row r="23" spans="1:14" ht="12.75" customHeight="1">
      <c r="A23" s="43" t="s">
        <v>26</v>
      </c>
      <c r="B23" s="2" t="s">
        <v>77</v>
      </c>
      <c r="G23" s="17">
        <v>48</v>
      </c>
      <c r="H23" s="7" t="s">
        <v>15</v>
      </c>
      <c r="J23" s="6">
        <f>G23</f>
        <v>48</v>
      </c>
      <c r="K23" s="7" t="s">
        <v>15</v>
      </c>
      <c r="M23" s="11"/>
      <c r="N23" s="7"/>
    </row>
    <row r="24" spans="1:14">
      <c r="A24" s="44"/>
      <c r="B24" s="2" t="s">
        <v>63</v>
      </c>
      <c r="G24" s="9">
        <f>G23*G4</f>
        <v>33.599999999999994</v>
      </c>
      <c r="H24" s="7"/>
      <c r="J24" s="9">
        <f>J23+J4</f>
        <v>49.906666666666666</v>
      </c>
      <c r="K24" s="7"/>
      <c r="M24" s="9">
        <f>J24-G24</f>
        <v>16.306666666666672</v>
      </c>
      <c r="N24" s="7" t="s">
        <v>76</v>
      </c>
    </row>
    <row r="25" spans="1:14" ht="12" customHeight="1">
      <c r="A25" s="44"/>
      <c r="B25" s="2" t="s">
        <v>22</v>
      </c>
      <c r="G25" s="6">
        <f>G5*G23</f>
        <v>2880</v>
      </c>
      <c r="H25" s="7" t="s">
        <v>0</v>
      </c>
      <c r="J25" s="6">
        <f>J5*J23</f>
        <v>624</v>
      </c>
      <c r="K25" s="7" t="s">
        <v>0</v>
      </c>
      <c r="M25" s="6">
        <f>G25-J25</f>
        <v>2256</v>
      </c>
      <c r="N25" s="7" t="s">
        <v>0</v>
      </c>
    </row>
    <row r="26" spans="1:14">
      <c r="A26" s="44"/>
      <c r="C26" s="2" t="s">
        <v>1</v>
      </c>
      <c r="G26" s="6">
        <f>G25/1000</f>
        <v>2.88</v>
      </c>
      <c r="H26" s="7" t="s">
        <v>4</v>
      </c>
      <c r="J26" s="6">
        <f>J25/1000</f>
        <v>0.624</v>
      </c>
      <c r="K26" s="7" t="s">
        <v>4</v>
      </c>
      <c r="M26" s="6">
        <f t="shared" ref="M26:M40" si="1">G26-J26</f>
        <v>2.2559999999999998</v>
      </c>
      <c r="N26" s="7" t="s">
        <v>4</v>
      </c>
    </row>
    <row r="27" spans="1:14">
      <c r="A27" s="44"/>
      <c r="B27" s="2" t="s">
        <v>8</v>
      </c>
      <c r="G27" s="8">
        <f>G7</f>
        <v>8.4003999999999995E-2</v>
      </c>
      <c r="H27" s="7" t="s">
        <v>5</v>
      </c>
      <c r="J27" s="8">
        <f>G27</f>
        <v>8.4003999999999995E-2</v>
      </c>
      <c r="K27" s="7" t="s">
        <v>5</v>
      </c>
      <c r="M27" s="6">
        <f t="shared" si="1"/>
        <v>0</v>
      </c>
      <c r="N27" s="7" t="s">
        <v>5</v>
      </c>
    </row>
    <row r="28" spans="1:14">
      <c r="A28" s="44"/>
      <c r="B28" s="2" t="s">
        <v>16</v>
      </c>
      <c r="G28" s="8">
        <f>G26*G27</f>
        <v>0.24193151999999998</v>
      </c>
      <c r="H28" s="7" t="s">
        <v>82</v>
      </c>
      <c r="J28" s="8">
        <f>J26*J27</f>
        <v>5.2418495999999995E-2</v>
      </c>
      <c r="K28" s="7" t="s">
        <v>82</v>
      </c>
      <c r="M28" s="8">
        <f t="shared" si="1"/>
        <v>0.18951302399999997</v>
      </c>
      <c r="N28" s="7" t="s">
        <v>24</v>
      </c>
    </row>
    <row r="29" spans="1:14">
      <c r="A29" s="44"/>
      <c r="B29" s="1" t="s">
        <v>85</v>
      </c>
      <c r="G29" s="41">
        <f>G28*24</f>
        <v>5.8063564799999998</v>
      </c>
      <c r="H29" s="7" t="s">
        <v>83</v>
      </c>
      <c r="J29" s="41">
        <f>J28*24</f>
        <v>1.258043904</v>
      </c>
      <c r="K29" s="7" t="s">
        <v>83</v>
      </c>
      <c r="M29" s="42">
        <f t="shared" si="1"/>
        <v>4.5483125759999998</v>
      </c>
      <c r="N29" s="30" t="s">
        <v>24</v>
      </c>
    </row>
    <row r="30" spans="1:14">
      <c r="A30" s="44"/>
      <c r="B30" s="2" t="s">
        <v>17</v>
      </c>
      <c r="G30" s="9">
        <f>G28*100</f>
        <v>24.193151999999998</v>
      </c>
      <c r="H30" s="7"/>
      <c r="J30" s="9">
        <f>J28*100</f>
        <v>5.2418495999999992</v>
      </c>
      <c r="K30" s="7"/>
      <c r="M30" s="9">
        <f t="shared" si="1"/>
        <v>18.951302399999999</v>
      </c>
      <c r="N30" s="7" t="s">
        <v>24</v>
      </c>
    </row>
    <row r="31" spans="1:14">
      <c r="A31" s="44"/>
      <c r="B31" s="1" t="s">
        <v>71</v>
      </c>
      <c r="G31" s="9">
        <f>G28*168</f>
        <v>40.644495360000001</v>
      </c>
      <c r="H31" s="7"/>
      <c r="J31" s="9">
        <f>J28*168</f>
        <v>8.806307327999999</v>
      </c>
      <c r="K31" s="7"/>
      <c r="M31" s="29">
        <f t="shared" si="1"/>
        <v>31.838188032000001</v>
      </c>
      <c r="N31" s="30" t="s">
        <v>24</v>
      </c>
    </row>
    <row r="32" spans="1:14">
      <c r="A32" s="44"/>
      <c r="B32" s="2" t="s">
        <v>18</v>
      </c>
      <c r="G32" s="9">
        <f>G28*500</f>
        <v>120.96575999999999</v>
      </c>
      <c r="H32" s="7"/>
      <c r="J32" s="9">
        <f>J28*500</f>
        <v>26.209247999999999</v>
      </c>
      <c r="K32" s="7"/>
      <c r="M32" s="9">
        <f t="shared" si="1"/>
        <v>94.756511999999987</v>
      </c>
      <c r="N32" s="7" t="s">
        <v>24</v>
      </c>
    </row>
    <row r="33" spans="1:14">
      <c r="A33" s="44"/>
      <c r="B33" s="1" t="s">
        <v>69</v>
      </c>
      <c r="G33" s="41">
        <f>G28*720</f>
        <v>174.19069439999998</v>
      </c>
      <c r="H33" s="7"/>
      <c r="J33" s="41">
        <f>J28*720</f>
        <v>37.741317119999998</v>
      </c>
      <c r="K33" s="7"/>
      <c r="M33" s="42">
        <f t="shared" si="1"/>
        <v>136.44937727999999</v>
      </c>
      <c r="N33" s="30" t="s">
        <v>24</v>
      </c>
    </row>
    <row r="34" spans="1:14">
      <c r="A34" s="44"/>
      <c r="B34" s="2" t="s">
        <v>19</v>
      </c>
      <c r="G34" s="9">
        <f>G28*1000</f>
        <v>241.93151999999998</v>
      </c>
      <c r="H34" s="7"/>
      <c r="J34" s="9">
        <f>J28*1000</f>
        <v>52.418495999999998</v>
      </c>
      <c r="K34" s="7"/>
      <c r="M34" s="9">
        <f t="shared" si="1"/>
        <v>189.51302399999997</v>
      </c>
      <c r="N34" s="7" t="s">
        <v>24</v>
      </c>
    </row>
    <row r="35" spans="1:14">
      <c r="A35" s="44"/>
      <c r="B35" s="2" t="s">
        <v>20</v>
      </c>
      <c r="G35" s="9">
        <f>G28*2500</f>
        <v>604.8288</v>
      </c>
      <c r="H35" s="7"/>
      <c r="J35" s="9">
        <f>J28*2500</f>
        <v>131.04623999999998</v>
      </c>
      <c r="K35" s="7"/>
      <c r="M35" s="9">
        <f t="shared" si="1"/>
        <v>473.78255999999999</v>
      </c>
      <c r="N35" s="7" t="s">
        <v>24</v>
      </c>
    </row>
    <row r="36" spans="1:14">
      <c r="A36" s="44"/>
      <c r="B36" s="2" t="s">
        <v>21</v>
      </c>
      <c r="G36" s="9">
        <f>G28*5000</f>
        <v>1209.6576</v>
      </c>
      <c r="H36" s="7"/>
      <c r="J36" s="9">
        <f>J28*5000</f>
        <v>262.09247999999997</v>
      </c>
      <c r="K36" s="7"/>
      <c r="M36" s="9">
        <f t="shared" si="1"/>
        <v>947.56511999999998</v>
      </c>
      <c r="N36" s="7" t="s">
        <v>24</v>
      </c>
    </row>
    <row r="37" spans="1:14">
      <c r="A37" s="44"/>
      <c r="B37" s="2" t="s">
        <v>72</v>
      </c>
      <c r="G37" s="9">
        <f>G28*6000</f>
        <v>1451.5891199999999</v>
      </c>
      <c r="H37" s="7"/>
      <c r="J37" s="9">
        <f>J28*6000</f>
        <v>314.51097599999997</v>
      </c>
      <c r="K37" s="7"/>
      <c r="M37" s="9">
        <f t="shared" si="1"/>
        <v>1137.0781439999998</v>
      </c>
      <c r="N37" s="7" t="s">
        <v>24</v>
      </c>
    </row>
    <row r="38" spans="1:14">
      <c r="A38" s="44"/>
      <c r="B38" s="1" t="s">
        <v>73</v>
      </c>
      <c r="G38" s="41">
        <f>G28*8760</f>
        <v>2119.3201151999997</v>
      </c>
      <c r="H38" s="7"/>
      <c r="J38" s="41">
        <f>J28*8760</f>
        <v>459.18602495999994</v>
      </c>
      <c r="K38" s="7"/>
      <c r="M38" s="42">
        <f t="shared" si="1"/>
        <v>1660.1340902399998</v>
      </c>
      <c r="N38" s="30" t="s">
        <v>24</v>
      </c>
    </row>
    <row r="39" spans="1:14">
      <c r="A39" s="44"/>
      <c r="B39" s="1" t="s">
        <v>74</v>
      </c>
      <c r="G39" s="9">
        <f>G28*26280</f>
        <v>6357.9603455999995</v>
      </c>
      <c r="H39" s="7"/>
      <c r="J39" s="9">
        <f>J28*26280</f>
        <v>1377.5580748799998</v>
      </c>
      <c r="K39" s="7"/>
      <c r="M39" s="29">
        <f t="shared" si="1"/>
        <v>4980.4022707200002</v>
      </c>
      <c r="N39" s="30" t="s">
        <v>24</v>
      </c>
    </row>
    <row r="40" spans="1:14">
      <c r="A40" s="45"/>
      <c r="B40" s="1" t="s">
        <v>75</v>
      </c>
      <c r="G40" s="12">
        <f>G28*30000</f>
        <v>7257.9455999999991</v>
      </c>
      <c r="H40" s="13"/>
      <c r="J40" s="12">
        <f>J28*30000</f>
        <v>1572.5548799999999</v>
      </c>
      <c r="K40" s="13"/>
      <c r="M40" s="31">
        <f t="shared" si="1"/>
        <v>5685.3907199999994</v>
      </c>
      <c r="N40" s="32" t="s">
        <v>24</v>
      </c>
    </row>
    <row r="42" spans="1:14">
      <c r="B42" s="14" t="s">
        <v>78</v>
      </c>
      <c r="G42" s="33">
        <f>M4/M8</f>
        <v>305.62543289900748</v>
      </c>
      <c r="H42" s="1" t="s">
        <v>79</v>
      </c>
      <c r="J42" s="33">
        <f>G42/24</f>
        <v>12.734393037458645</v>
      </c>
      <c r="K42" s="1" t="s">
        <v>81</v>
      </c>
      <c r="M42" s="34">
        <f>M18/J4</f>
        <v>18.139577034965033</v>
      </c>
      <c r="N42" s="1" t="s">
        <v>86</v>
      </c>
    </row>
    <row r="43" spans="1:14">
      <c r="B43" s="14" t="s">
        <v>27</v>
      </c>
    </row>
    <row r="44" spans="1:14">
      <c r="B44" s="14"/>
    </row>
  </sheetData>
  <mergeCells count="5">
    <mergeCell ref="A23:A40"/>
    <mergeCell ref="G3:H3"/>
    <mergeCell ref="M3:N3"/>
    <mergeCell ref="J3:K3"/>
    <mergeCell ref="A4:A20"/>
  </mergeCells>
  <phoneticPr fontId="1" type="noConversion"/>
  <pageMargins left="0.2" right="0.2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6"/>
  <sheetViews>
    <sheetView zoomScale="85" workbookViewId="0">
      <selection activeCell="G3" sqref="G3"/>
    </sheetView>
  </sheetViews>
  <sheetFormatPr defaultRowHeight="12"/>
  <cols>
    <col min="1" max="1" width="3.28515625" style="2" customWidth="1"/>
    <col min="2" max="3" width="9.140625" style="2"/>
    <col min="4" max="4" width="12.140625" style="2" customWidth="1"/>
    <col min="5" max="5" width="11.85546875" style="2" customWidth="1"/>
    <col min="6" max="6" width="13.42578125" style="2" customWidth="1"/>
    <col min="7" max="7" width="10.5703125" style="2" bestFit="1" customWidth="1"/>
    <col min="8" max="8" width="9.140625" style="2"/>
    <col min="9" max="9" width="3.28515625" style="2" customWidth="1"/>
    <col min="10" max="10" width="11.42578125" style="2" customWidth="1"/>
    <col min="11" max="11" width="10" style="2" customWidth="1"/>
    <col min="12" max="12" width="3" style="2" customWidth="1"/>
    <col min="13" max="13" width="10.42578125" style="2" bestFit="1" customWidth="1"/>
    <col min="14" max="16384" width="9.140625" style="2"/>
  </cols>
  <sheetData>
    <row r="1" spans="1:14" ht="16.5" thickBot="1">
      <c r="B1" s="39" t="s">
        <v>29</v>
      </c>
      <c r="H1" s="40" t="s">
        <v>58</v>
      </c>
    </row>
    <row r="2" spans="1:14" ht="12.75" thickTop="1">
      <c r="G2" s="46" t="s">
        <v>30</v>
      </c>
      <c r="H2" s="47"/>
      <c r="J2" s="46" t="s">
        <v>31</v>
      </c>
      <c r="K2" s="47"/>
      <c r="L2" s="3"/>
      <c r="M2" s="46" t="s">
        <v>23</v>
      </c>
      <c r="N2" s="47"/>
    </row>
    <row r="3" spans="1:14" ht="12" customHeight="1">
      <c r="A3" s="43" t="s">
        <v>43</v>
      </c>
      <c r="B3" s="2" t="s">
        <v>32</v>
      </c>
      <c r="G3" s="15">
        <v>8</v>
      </c>
      <c r="H3" s="4" t="s">
        <v>33</v>
      </c>
      <c r="J3" s="15">
        <v>2.5</v>
      </c>
      <c r="K3" s="4" t="s">
        <v>33</v>
      </c>
      <c r="M3" s="5">
        <f>G3-J3</f>
        <v>5.5</v>
      </c>
      <c r="N3" s="4" t="s">
        <v>33</v>
      </c>
    </row>
    <row r="4" spans="1:14">
      <c r="A4" s="44"/>
      <c r="B4" s="2" t="s">
        <v>41</v>
      </c>
      <c r="G4" s="6">
        <v>1</v>
      </c>
      <c r="H4" s="7" t="s">
        <v>37</v>
      </c>
      <c r="J4" s="6">
        <f>G4</f>
        <v>1</v>
      </c>
      <c r="K4" s="7" t="s">
        <v>37</v>
      </c>
      <c r="M4" s="6">
        <f t="shared" ref="M4:M13" si="0">G4-J4</f>
        <v>0</v>
      </c>
      <c r="N4" s="7" t="s">
        <v>37</v>
      </c>
    </row>
    <row r="5" spans="1:14">
      <c r="A5" s="44"/>
      <c r="B5" s="2" t="s">
        <v>38</v>
      </c>
      <c r="G5" s="6">
        <f>G3*G4</f>
        <v>8</v>
      </c>
      <c r="H5" s="7" t="s">
        <v>36</v>
      </c>
      <c r="J5" s="6">
        <f>J3*J4</f>
        <v>2.5</v>
      </c>
      <c r="K5" s="7" t="s">
        <v>36</v>
      </c>
      <c r="M5" s="6">
        <f>G5-J5</f>
        <v>5.5</v>
      </c>
      <c r="N5" s="7" t="s">
        <v>36</v>
      </c>
    </row>
    <row r="6" spans="1:14">
      <c r="A6" s="44"/>
      <c r="E6" s="2" t="s">
        <v>39</v>
      </c>
      <c r="G6" s="20">
        <f>G5/7.48051948052</f>
        <v>1.0694444444443703</v>
      </c>
      <c r="H6" s="7" t="s">
        <v>28</v>
      </c>
      <c r="J6" s="20">
        <f>J5/7.48051948052</f>
        <v>0.33420138888886569</v>
      </c>
      <c r="K6" s="7" t="s">
        <v>28</v>
      </c>
      <c r="M6" s="20">
        <f>G6-J6</f>
        <v>0.73524305555550451</v>
      </c>
      <c r="N6" s="7" t="s">
        <v>28</v>
      </c>
    </row>
    <row r="7" spans="1:14">
      <c r="A7" s="44"/>
      <c r="E7" s="2" t="s">
        <v>87</v>
      </c>
      <c r="G7" s="20">
        <f>G6/100</f>
        <v>1.0694444444443703E-2</v>
      </c>
      <c r="H7" s="7" t="s">
        <v>40</v>
      </c>
      <c r="J7" s="20">
        <f>J6/100</f>
        <v>3.3420138888886567E-3</v>
      </c>
      <c r="K7" s="7" t="s">
        <v>40</v>
      </c>
      <c r="M7" s="20">
        <f>G7-J7</f>
        <v>7.3524305555550465E-3</v>
      </c>
      <c r="N7" s="7" t="s">
        <v>40</v>
      </c>
    </row>
    <row r="8" spans="1:14">
      <c r="A8" s="44"/>
      <c r="B8" s="2" t="s">
        <v>34</v>
      </c>
      <c r="G8" s="18">
        <v>0.74</v>
      </c>
      <c r="H8" s="7" t="s">
        <v>35</v>
      </c>
      <c r="J8" s="19">
        <f>G8</f>
        <v>0.74</v>
      </c>
      <c r="K8" s="7" t="s">
        <v>35</v>
      </c>
      <c r="M8" s="19">
        <f>J8</f>
        <v>0.74</v>
      </c>
      <c r="N8" s="7" t="s">
        <v>35</v>
      </c>
    </row>
    <row r="9" spans="1:14">
      <c r="A9" s="44"/>
      <c r="B9" s="2" t="s">
        <v>42</v>
      </c>
      <c r="G9" s="20">
        <f>G7*G8</f>
        <v>7.9138888888883405E-3</v>
      </c>
      <c r="H9" s="7" t="s">
        <v>2</v>
      </c>
      <c r="J9" s="20">
        <f>J7*J8</f>
        <v>2.4730902777776059E-3</v>
      </c>
      <c r="K9" s="7" t="s">
        <v>2</v>
      </c>
      <c r="M9" s="20">
        <f t="shared" si="0"/>
        <v>5.4407986111107351E-3</v>
      </c>
      <c r="N9" s="7" t="s">
        <v>2</v>
      </c>
    </row>
    <row r="10" spans="1:14">
      <c r="A10" s="44"/>
      <c r="B10" s="2" t="s">
        <v>44</v>
      </c>
      <c r="G10" s="20">
        <f>$G$9*5</f>
        <v>3.9569444444441701E-2</v>
      </c>
      <c r="H10" s="7" t="s">
        <v>2</v>
      </c>
      <c r="J10" s="20">
        <f>$J$9*5</f>
        <v>1.2365451388888029E-2</v>
      </c>
      <c r="K10" s="7" t="s">
        <v>2</v>
      </c>
      <c r="M10" s="20">
        <f t="shared" si="0"/>
        <v>2.7203993055553672E-2</v>
      </c>
      <c r="N10" s="7" t="s">
        <v>24</v>
      </c>
    </row>
    <row r="11" spans="1:14">
      <c r="A11" s="44"/>
      <c r="B11" s="1" t="s">
        <v>45</v>
      </c>
      <c r="G11" s="20">
        <f>$G$9*7</f>
        <v>5.5397222222218385E-2</v>
      </c>
      <c r="H11" s="7" t="s">
        <v>2</v>
      </c>
      <c r="J11" s="20">
        <f>$J$9*7</f>
        <v>1.731163194444324E-2</v>
      </c>
      <c r="K11" s="7" t="s">
        <v>2</v>
      </c>
      <c r="M11" s="35">
        <f t="shared" si="0"/>
        <v>3.8085590277775146E-2</v>
      </c>
      <c r="N11" s="30" t="s">
        <v>24</v>
      </c>
    </row>
    <row r="12" spans="1:14">
      <c r="A12" s="44"/>
      <c r="B12" s="1" t="s">
        <v>46</v>
      </c>
      <c r="G12" s="20">
        <f>$G$9*10</f>
        <v>7.9138888888883402E-2</v>
      </c>
      <c r="H12" s="7" t="s">
        <v>2</v>
      </c>
      <c r="J12" s="20">
        <f>$J$9*10</f>
        <v>2.4730902777776058E-2</v>
      </c>
      <c r="K12" s="7" t="s">
        <v>2</v>
      </c>
      <c r="M12" s="35">
        <f>G12-J12</f>
        <v>5.4407986111107344E-2</v>
      </c>
      <c r="N12" s="30" t="s">
        <v>24</v>
      </c>
    </row>
    <row r="13" spans="1:14">
      <c r="A13" s="44"/>
      <c r="B13" s="2" t="s">
        <v>47</v>
      </c>
      <c r="G13" s="20">
        <f>$G$9*15</f>
        <v>0.1187083333333251</v>
      </c>
      <c r="H13" s="7" t="s">
        <v>2</v>
      </c>
      <c r="J13" s="20">
        <f>$J$9*15</f>
        <v>3.709635416666409E-2</v>
      </c>
      <c r="K13" s="7" t="s">
        <v>2</v>
      </c>
      <c r="M13" s="20">
        <f t="shared" si="0"/>
        <v>8.1611979166661019E-2</v>
      </c>
      <c r="N13" s="7" t="s">
        <v>24</v>
      </c>
    </row>
    <row r="14" spans="1:14">
      <c r="A14" s="44"/>
      <c r="B14" s="2" t="s">
        <v>48</v>
      </c>
      <c r="G14" s="20">
        <f>$G$9*20</f>
        <v>0.1582777777777668</v>
      </c>
      <c r="H14" s="7" t="s">
        <v>2</v>
      </c>
      <c r="J14" s="20">
        <f>$J$9*20</f>
        <v>4.9461805555552116E-2</v>
      </c>
      <c r="K14" s="7" t="s">
        <v>2</v>
      </c>
      <c r="M14" s="35">
        <f>G14-J14</f>
        <v>0.10881597222221469</v>
      </c>
      <c r="N14" s="30" t="s">
        <v>24</v>
      </c>
    </row>
    <row r="15" spans="1:14">
      <c r="A15" s="44"/>
      <c r="B15" s="2" t="s">
        <v>49</v>
      </c>
      <c r="G15" s="20">
        <f>$G$9*70</f>
        <v>0.55397222222218379</v>
      </c>
      <c r="H15" s="7" t="s">
        <v>2</v>
      </c>
      <c r="J15" s="20">
        <f>$J$9*20</f>
        <v>4.9461805555552116E-2</v>
      </c>
      <c r="K15" s="7" t="s">
        <v>2</v>
      </c>
      <c r="M15" s="20">
        <f t="shared" ref="M15:M22" si="1">G15-J15</f>
        <v>0.50451041666663166</v>
      </c>
      <c r="N15" s="7" t="s">
        <v>24</v>
      </c>
    </row>
    <row r="16" spans="1:14">
      <c r="A16" s="44"/>
      <c r="B16" s="2" t="s">
        <v>51</v>
      </c>
      <c r="G16" s="20">
        <f>$G$9*300</f>
        <v>2.3741666666665022</v>
      </c>
      <c r="H16" s="7" t="s">
        <v>2</v>
      </c>
      <c r="J16" s="20">
        <f>$J$9*300</f>
        <v>0.74192708333328172</v>
      </c>
      <c r="K16" s="7" t="s">
        <v>2</v>
      </c>
      <c r="M16" s="35">
        <f t="shared" si="1"/>
        <v>1.6322395833332206</v>
      </c>
      <c r="N16" s="30" t="s">
        <v>24</v>
      </c>
    </row>
    <row r="17" spans="1:14" ht="12.75" customHeight="1">
      <c r="A17" s="44"/>
      <c r="B17" s="2" t="s">
        <v>52</v>
      </c>
      <c r="G17" s="20">
        <f>$G$9*3650</f>
        <v>28.885694444442443</v>
      </c>
      <c r="H17" s="7" t="s">
        <v>2</v>
      </c>
      <c r="J17" s="20">
        <f>$J$9*3650</f>
        <v>9.0267795138882612</v>
      </c>
      <c r="K17" s="7" t="s">
        <v>2</v>
      </c>
      <c r="M17" s="20">
        <f t="shared" si="1"/>
        <v>19.858914930554182</v>
      </c>
      <c r="N17" s="7" t="s">
        <v>24</v>
      </c>
    </row>
    <row r="18" spans="1:14" ht="12" customHeight="1">
      <c r="A18" s="44"/>
      <c r="B18" s="2" t="s">
        <v>53</v>
      </c>
      <c r="G18" s="20">
        <f>$G$9*3650*2</f>
        <v>57.771388888884886</v>
      </c>
      <c r="H18" s="7" t="s">
        <v>2</v>
      </c>
      <c r="J18" s="20">
        <f>$J$9*3650*2</f>
        <v>18.053559027776522</v>
      </c>
      <c r="K18" s="7" t="s">
        <v>2</v>
      </c>
      <c r="M18" s="20">
        <f t="shared" si="1"/>
        <v>39.717829861108363</v>
      </c>
      <c r="N18" s="7" t="s">
        <v>24</v>
      </c>
    </row>
    <row r="19" spans="1:14">
      <c r="A19" s="44"/>
      <c r="B19" s="2" t="s">
        <v>54</v>
      </c>
      <c r="G19" s="20">
        <f>$G$9*3650*3</f>
        <v>86.657083333327336</v>
      </c>
      <c r="H19" s="7" t="s">
        <v>2</v>
      </c>
      <c r="J19" s="20">
        <f>$J$9*3650*3</f>
        <v>27.080338541664783</v>
      </c>
      <c r="K19" s="7" t="s">
        <v>2</v>
      </c>
      <c r="M19" s="20">
        <f t="shared" si="1"/>
        <v>59.576744791662549</v>
      </c>
      <c r="N19" s="7" t="s">
        <v>24</v>
      </c>
    </row>
    <row r="20" spans="1:14">
      <c r="A20" s="44"/>
      <c r="B20" s="2" t="s">
        <v>55</v>
      </c>
      <c r="G20" s="20">
        <f>$G$9*3650*4</f>
        <v>115.54277777776977</v>
      </c>
      <c r="H20" s="7" t="s">
        <v>2</v>
      </c>
      <c r="J20" s="20">
        <f>$J$9*3650*4</f>
        <v>36.107118055553045</v>
      </c>
      <c r="K20" s="7" t="s">
        <v>2</v>
      </c>
      <c r="M20" s="20">
        <f t="shared" si="1"/>
        <v>79.435659722216727</v>
      </c>
      <c r="N20" s="7" t="s">
        <v>24</v>
      </c>
    </row>
    <row r="21" spans="1:14">
      <c r="A21" s="44"/>
      <c r="B21" s="2" t="s">
        <v>56</v>
      </c>
      <c r="G21" s="20">
        <f>$G$9*3650*5</f>
        <v>144.42847222221221</v>
      </c>
      <c r="H21" s="7" t="s">
        <v>2</v>
      </c>
      <c r="J21" s="20">
        <f>$J$9*3650*5</f>
        <v>45.133897569441302</v>
      </c>
      <c r="K21" s="7" t="s">
        <v>2</v>
      </c>
      <c r="M21" s="35">
        <f t="shared" si="1"/>
        <v>99.294574652770905</v>
      </c>
      <c r="N21" s="30" t="s">
        <v>24</v>
      </c>
    </row>
    <row r="22" spans="1:14">
      <c r="A22" s="45"/>
      <c r="B22" s="2" t="s">
        <v>57</v>
      </c>
      <c r="G22" s="20">
        <f>$G$9*3650*10</f>
        <v>288.85694444442441</v>
      </c>
      <c r="H22" s="7" t="s">
        <v>2</v>
      </c>
      <c r="J22" s="20">
        <f>$J$9*3650*10</f>
        <v>90.267795138882605</v>
      </c>
      <c r="K22" s="7" t="s">
        <v>2</v>
      </c>
      <c r="M22" s="35">
        <f t="shared" si="1"/>
        <v>198.58914930554181</v>
      </c>
      <c r="N22" s="30" t="s">
        <v>24</v>
      </c>
    </row>
    <row r="23" spans="1:14">
      <c r="A23" s="24"/>
      <c r="G23" s="22"/>
      <c r="H23" s="23"/>
      <c r="I23" s="21"/>
      <c r="J23" s="22"/>
      <c r="K23" s="23"/>
      <c r="L23" s="21"/>
      <c r="M23" s="22"/>
      <c r="N23" s="7"/>
    </row>
    <row r="24" spans="1:14" ht="12.75" customHeight="1">
      <c r="A24" s="43" t="s">
        <v>50</v>
      </c>
      <c r="B24" s="2" t="s">
        <v>59</v>
      </c>
      <c r="G24" s="17">
        <v>2</v>
      </c>
      <c r="H24" s="7" t="s">
        <v>60</v>
      </c>
      <c r="J24" s="6">
        <f>G24</f>
        <v>2</v>
      </c>
      <c r="K24" s="7" t="s">
        <v>60</v>
      </c>
      <c r="M24" s="11"/>
      <c r="N24" s="7"/>
    </row>
    <row r="25" spans="1:14">
      <c r="A25" s="44"/>
      <c r="C25" s="14"/>
      <c r="G25" s="11"/>
      <c r="H25" s="7"/>
      <c r="J25" s="11"/>
      <c r="K25" s="7"/>
      <c r="M25" s="11"/>
      <c r="N25" s="7"/>
    </row>
    <row r="26" spans="1:14" ht="12" customHeight="1">
      <c r="A26" s="44"/>
      <c r="B26" s="2" t="s">
        <v>32</v>
      </c>
      <c r="G26" s="25">
        <f>G3*G24</f>
        <v>16</v>
      </c>
      <c r="H26" s="7" t="s">
        <v>33</v>
      </c>
      <c r="J26" s="25">
        <f>J24*J3</f>
        <v>5</v>
      </c>
      <c r="K26" s="7" t="s">
        <v>33</v>
      </c>
      <c r="M26" s="6">
        <f>G26-J26</f>
        <v>11</v>
      </c>
      <c r="N26" s="7" t="s">
        <v>33</v>
      </c>
    </row>
    <row r="27" spans="1:14" ht="12" customHeight="1">
      <c r="A27" s="44"/>
      <c r="B27" s="2" t="s">
        <v>41</v>
      </c>
      <c r="G27" s="6">
        <v>1</v>
      </c>
      <c r="H27" s="7" t="s">
        <v>37</v>
      </c>
      <c r="J27" s="6">
        <f>G27</f>
        <v>1</v>
      </c>
      <c r="K27" s="7" t="s">
        <v>37</v>
      </c>
      <c r="M27" s="6">
        <f>G27-J27</f>
        <v>0</v>
      </c>
      <c r="N27" s="7" t="s">
        <v>37</v>
      </c>
    </row>
    <row r="28" spans="1:14">
      <c r="A28" s="44"/>
      <c r="B28" s="2" t="s">
        <v>38</v>
      </c>
      <c r="G28" s="6">
        <f>G26*G27</f>
        <v>16</v>
      </c>
      <c r="H28" s="7" t="s">
        <v>36</v>
      </c>
      <c r="J28" s="6">
        <f>J26*J27</f>
        <v>5</v>
      </c>
      <c r="K28" s="7" t="s">
        <v>36</v>
      </c>
      <c r="M28" s="6">
        <f>G28-J28</f>
        <v>11</v>
      </c>
      <c r="N28" s="7" t="s">
        <v>36</v>
      </c>
    </row>
    <row r="29" spans="1:14">
      <c r="A29" s="44"/>
      <c r="E29" s="2" t="s">
        <v>39</v>
      </c>
      <c r="G29" s="20">
        <f>G28/7.48051948052</f>
        <v>2.1388888888887405</v>
      </c>
      <c r="H29" s="7" t="s">
        <v>28</v>
      </c>
      <c r="J29" s="20">
        <f>J28/7.48051948052</f>
        <v>0.66840277777773138</v>
      </c>
      <c r="K29" s="7" t="s">
        <v>28</v>
      </c>
      <c r="M29" s="20">
        <f>G29-J29</f>
        <v>1.470486111111009</v>
      </c>
      <c r="N29" s="7" t="s">
        <v>28</v>
      </c>
    </row>
    <row r="30" spans="1:14">
      <c r="A30" s="44"/>
      <c r="E30" s="2" t="s">
        <v>39</v>
      </c>
      <c r="G30" s="20">
        <f>G29/100</f>
        <v>2.1388888888887406E-2</v>
      </c>
      <c r="H30" s="7" t="s">
        <v>40</v>
      </c>
      <c r="J30" s="20">
        <f>J29/100</f>
        <v>6.6840277777773134E-3</v>
      </c>
      <c r="K30" s="7" t="s">
        <v>40</v>
      </c>
      <c r="M30" s="20">
        <f>G30-J30</f>
        <v>1.4704861111110093E-2</v>
      </c>
      <c r="N30" s="7" t="s">
        <v>40</v>
      </c>
    </row>
    <row r="31" spans="1:14">
      <c r="A31" s="44"/>
      <c r="B31" s="2" t="s">
        <v>34</v>
      </c>
      <c r="G31" s="26">
        <v>0.74</v>
      </c>
      <c r="H31" s="7" t="s">
        <v>35</v>
      </c>
      <c r="J31" s="19">
        <f>G31</f>
        <v>0.74</v>
      </c>
      <c r="K31" s="7" t="s">
        <v>35</v>
      </c>
      <c r="M31" s="19">
        <f>J31</f>
        <v>0.74</v>
      </c>
      <c r="N31" s="7" t="s">
        <v>35</v>
      </c>
    </row>
    <row r="32" spans="1:14">
      <c r="A32" s="44"/>
      <c r="B32" s="2" t="s">
        <v>42</v>
      </c>
      <c r="G32" s="20">
        <f>G30*G31</f>
        <v>1.5827777777776681E-2</v>
      </c>
      <c r="H32" s="7" t="s">
        <v>2</v>
      </c>
      <c r="J32" s="20">
        <f>J30*J31</f>
        <v>4.9461805555552118E-3</v>
      </c>
      <c r="K32" s="7" t="s">
        <v>2</v>
      </c>
      <c r="M32" s="20">
        <f t="shared" ref="M32:M37" si="2">G32-J32</f>
        <v>1.088159722222147E-2</v>
      </c>
      <c r="N32" s="7" t="s">
        <v>2</v>
      </c>
    </row>
    <row r="33" spans="1:14">
      <c r="A33" s="44"/>
      <c r="B33" s="2" t="s">
        <v>44</v>
      </c>
      <c r="G33" s="20">
        <f>$G$32*5</f>
        <v>7.9138888888883402E-2</v>
      </c>
      <c r="H33" s="7" t="s">
        <v>2</v>
      </c>
      <c r="J33" s="20">
        <f>$J$32*5</f>
        <v>2.4730902777776058E-2</v>
      </c>
      <c r="K33" s="7" t="s">
        <v>2</v>
      </c>
      <c r="M33" s="20">
        <f t="shared" si="2"/>
        <v>5.4407986111107344E-2</v>
      </c>
      <c r="N33" s="7" t="s">
        <v>24</v>
      </c>
    </row>
    <row r="34" spans="1:14">
      <c r="A34" s="44"/>
      <c r="B34" s="1" t="s">
        <v>45</v>
      </c>
      <c r="G34" s="20">
        <f>$G$32*7</f>
        <v>0.11079444444443677</v>
      </c>
      <c r="H34" s="7" t="s">
        <v>2</v>
      </c>
      <c r="J34" s="20">
        <f>$J$32*7</f>
        <v>3.462326388888648E-2</v>
      </c>
      <c r="K34" s="7" t="s">
        <v>2</v>
      </c>
      <c r="M34" s="35">
        <f t="shared" si="2"/>
        <v>7.6171180555550291E-2</v>
      </c>
      <c r="N34" s="30" t="s">
        <v>24</v>
      </c>
    </row>
    <row r="35" spans="1:14">
      <c r="A35" s="44"/>
      <c r="B35" s="1" t="s">
        <v>46</v>
      </c>
      <c r="G35" s="20">
        <f>$G$32*10</f>
        <v>0.1582777777777668</v>
      </c>
      <c r="H35" s="7" t="s">
        <v>2</v>
      </c>
      <c r="J35" s="20">
        <f>$J$32*10</f>
        <v>4.9461805555552116E-2</v>
      </c>
      <c r="K35" s="7" t="s">
        <v>2</v>
      </c>
      <c r="M35" s="35">
        <f t="shared" si="2"/>
        <v>0.10881597222221469</v>
      </c>
      <c r="N35" s="30" t="s">
        <v>24</v>
      </c>
    </row>
    <row r="36" spans="1:14">
      <c r="A36" s="44"/>
      <c r="B36" s="2" t="s">
        <v>47</v>
      </c>
      <c r="G36" s="20">
        <f>$G$32*15</f>
        <v>0.23741666666665021</v>
      </c>
      <c r="H36" s="7" t="s">
        <v>2</v>
      </c>
      <c r="J36" s="20">
        <f>$J$32*15</f>
        <v>7.4192708333328181E-2</v>
      </c>
      <c r="K36" s="7" t="s">
        <v>2</v>
      </c>
      <c r="M36" s="20">
        <f t="shared" si="2"/>
        <v>0.16322395833332204</v>
      </c>
      <c r="N36" s="7" t="s">
        <v>24</v>
      </c>
    </row>
    <row r="37" spans="1:14">
      <c r="A37" s="44"/>
      <c r="B37" s="2" t="s">
        <v>48</v>
      </c>
      <c r="G37" s="20">
        <f>$G$32*20</f>
        <v>0.31655555555553361</v>
      </c>
      <c r="H37" s="7" t="s">
        <v>2</v>
      </c>
      <c r="J37" s="20">
        <f>$J$32*20</f>
        <v>9.8923611111104232E-2</v>
      </c>
      <c r="K37" s="7" t="s">
        <v>2</v>
      </c>
      <c r="M37" s="20">
        <f t="shared" si="2"/>
        <v>0.21763194444442938</v>
      </c>
      <c r="N37" s="7" t="s">
        <v>24</v>
      </c>
    </row>
    <row r="38" spans="1:14">
      <c r="A38" s="44"/>
      <c r="B38" s="2" t="s">
        <v>49</v>
      </c>
      <c r="G38" s="20">
        <f>$G$32*70</f>
        <v>1.1079444444443676</v>
      </c>
      <c r="H38" s="7" t="s">
        <v>2</v>
      </c>
      <c r="J38" s="20">
        <f>$J$32*70</f>
        <v>0.3462326388888648</v>
      </c>
      <c r="K38" s="7" t="s">
        <v>2</v>
      </c>
      <c r="M38" s="20">
        <f t="shared" ref="M38:M45" si="3">G38-J38</f>
        <v>0.76171180555550277</v>
      </c>
      <c r="N38" s="7" t="s">
        <v>24</v>
      </c>
    </row>
    <row r="39" spans="1:14">
      <c r="A39" s="44"/>
      <c r="B39" s="2" t="s">
        <v>51</v>
      </c>
      <c r="G39" s="20">
        <f>$G$32*300</f>
        <v>4.7483333333330044</v>
      </c>
      <c r="H39" s="7" t="s">
        <v>2</v>
      </c>
      <c r="J39" s="20">
        <f>$J$32*300</f>
        <v>1.4838541666665634</v>
      </c>
      <c r="K39" s="7" t="s">
        <v>2</v>
      </c>
      <c r="M39" s="35">
        <f t="shared" si="3"/>
        <v>3.2644791666664412</v>
      </c>
      <c r="N39" s="30" t="s">
        <v>24</v>
      </c>
    </row>
    <row r="40" spans="1:14">
      <c r="A40" s="44"/>
      <c r="B40" s="2" t="s">
        <v>52</v>
      </c>
      <c r="G40" s="20">
        <f>$G$32*3650</f>
        <v>57.771388888884886</v>
      </c>
      <c r="H40" s="7" t="s">
        <v>2</v>
      </c>
      <c r="J40" s="20">
        <f>$J$32*3650</f>
        <v>18.053559027776522</v>
      </c>
      <c r="K40" s="7" t="s">
        <v>2</v>
      </c>
      <c r="M40" s="20">
        <f t="shared" si="3"/>
        <v>39.717829861108363</v>
      </c>
      <c r="N40" s="7" t="s">
        <v>24</v>
      </c>
    </row>
    <row r="41" spans="1:14">
      <c r="A41" s="44"/>
      <c r="B41" s="2" t="s">
        <v>53</v>
      </c>
      <c r="G41" s="20">
        <f>$G$32*3650*2</f>
        <v>115.54277777776977</v>
      </c>
      <c r="H41" s="7" t="s">
        <v>2</v>
      </c>
      <c r="J41" s="20">
        <f>$J$32*3650*2</f>
        <v>36.107118055553045</v>
      </c>
      <c r="K41" s="7" t="s">
        <v>2</v>
      </c>
      <c r="M41" s="20">
        <f t="shared" si="3"/>
        <v>79.435659722216727</v>
      </c>
      <c r="N41" s="7" t="s">
        <v>24</v>
      </c>
    </row>
    <row r="42" spans="1:14">
      <c r="A42" s="44"/>
      <c r="B42" s="2" t="s">
        <v>54</v>
      </c>
      <c r="G42" s="20">
        <f>$G$32*3650*3</f>
        <v>173.31416666665467</v>
      </c>
      <c r="H42" s="7" t="s">
        <v>2</v>
      </c>
      <c r="J42" s="20">
        <f>$J$32*3650*3</f>
        <v>54.160677083329567</v>
      </c>
      <c r="K42" s="7" t="s">
        <v>2</v>
      </c>
      <c r="M42" s="20">
        <f t="shared" si="3"/>
        <v>119.1534895833251</v>
      </c>
      <c r="N42" s="7" t="s">
        <v>24</v>
      </c>
    </row>
    <row r="43" spans="1:14">
      <c r="A43" s="44"/>
      <c r="B43" s="2" t="s">
        <v>55</v>
      </c>
      <c r="G43" s="20">
        <f>$G$32*3650*4</f>
        <v>231.08555555553954</v>
      </c>
      <c r="H43" s="7" t="s">
        <v>2</v>
      </c>
      <c r="J43" s="20">
        <f>$J$32*3650*4</f>
        <v>72.214236111106089</v>
      </c>
      <c r="K43" s="7" t="s">
        <v>2</v>
      </c>
      <c r="M43" s="20">
        <f t="shared" si="3"/>
        <v>158.87131944443345</v>
      </c>
      <c r="N43" s="7" t="s">
        <v>24</v>
      </c>
    </row>
    <row r="44" spans="1:14">
      <c r="A44" s="44"/>
      <c r="B44" s="2" t="s">
        <v>56</v>
      </c>
      <c r="G44" s="20">
        <f>$G$32*3650*5</f>
        <v>288.85694444442441</v>
      </c>
      <c r="H44" s="7" t="s">
        <v>2</v>
      </c>
      <c r="J44" s="20">
        <f>$J$32*3650*5</f>
        <v>90.267795138882605</v>
      </c>
      <c r="K44" s="7" t="s">
        <v>2</v>
      </c>
      <c r="M44" s="35">
        <f t="shared" si="3"/>
        <v>198.58914930554181</v>
      </c>
      <c r="N44" s="30" t="s">
        <v>24</v>
      </c>
    </row>
    <row r="45" spans="1:14">
      <c r="A45" s="45"/>
      <c r="B45" s="2" t="s">
        <v>57</v>
      </c>
      <c r="G45" s="36">
        <f>$G$32*3650*10</f>
        <v>577.71388888884883</v>
      </c>
      <c r="H45" s="7" t="s">
        <v>2</v>
      </c>
      <c r="J45" s="36">
        <f>$J$32*3650*10</f>
        <v>180.53559027776521</v>
      </c>
      <c r="K45" s="7" t="s">
        <v>2</v>
      </c>
      <c r="M45" s="38">
        <f t="shared" si="3"/>
        <v>397.17829861108362</v>
      </c>
      <c r="N45" s="32" t="s">
        <v>24</v>
      </c>
    </row>
    <row r="46" spans="1:14">
      <c r="M46" s="37"/>
    </row>
  </sheetData>
  <mergeCells count="5">
    <mergeCell ref="A24:A45"/>
    <mergeCell ref="M2:N2"/>
    <mergeCell ref="G2:H2"/>
    <mergeCell ref="J2:K2"/>
    <mergeCell ref="A3:A22"/>
  </mergeCells>
  <phoneticPr fontId="1" type="noConversion"/>
  <pageMargins left="0.2" right="0.2" top="0.5" bottom="0.5" header="0.5" footer="0.5"/>
  <pageSetup scale="80" orientation="landscape" r:id="rId1"/>
  <headerFooter alignWithMargins="0"/>
  <ignoredErrors>
    <ignoredError sqref="G26 J26" unlockedFormula="1"/>
    <ignoredError sqref="M31 M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AH19"/>
  <sheetViews>
    <sheetView tabSelected="1" workbookViewId="0">
      <selection activeCell="A12" sqref="A12:IV12"/>
    </sheetView>
  </sheetViews>
  <sheetFormatPr defaultRowHeight="12.75"/>
  <cols>
    <col min="8" max="8" width="6.28515625" style="50" customWidth="1"/>
    <col min="9" max="10" width="6.28515625" customWidth="1"/>
    <col min="11" max="11" width="2" customWidth="1"/>
    <col min="12" max="14" width="6.28515625" customWidth="1"/>
    <col min="15" max="15" width="2" customWidth="1"/>
    <col min="16" max="18" width="6.28515625" customWidth="1"/>
    <col min="19" max="19" width="2" customWidth="1"/>
    <col min="20" max="22" width="6.28515625" customWidth="1"/>
    <col min="23" max="23" width="2" customWidth="1"/>
    <col min="24" max="26" width="6.28515625" customWidth="1"/>
    <col min="27" max="27" width="2" customWidth="1"/>
    <col min="28" max="30" width="6.28515625" customWidth="1"/>
    <col min="31" max="31" width="2" customWidth="1"/>
    <col min="32" max="34" width="6.28515625" customWidth="1"/>
  </cols>
  <sheetData>
    <row r="1" spans="1:34">
      <c r="A1" s="48" t="s">
        <v>88</v>
      </c>
    </row>
    <row r="2" spans="1:34">
      <c r="H2" s="53" t="s">
        <v>91</v>
      </c>
      <c r="I2" s="53"/>
      <c r="J2" s="53"/>
      <c r="K2" s="52"/>
      <c r="L2" s="53" t="s">
        <v>92</v>
      </c>
      <c r="M2" s="53"/>
      <c r="N2" s="53"/>
      <c r="O2" s="52"/>
      <c r="P2" s="53" t="s">
        <v>93</v>
      </c>
      <c r="Q2" s="53"/>
      <c r="R2" s="53"/>
      <c r="S2" s="52"/>
      <c r="T2" s="53" t="s">
        <v>94</v>
      </c>
      <c r="U2" s="53"/>
      <c r="V2" s="53"/>
      <c r="W2" s="52"/>
      <c r="X2" s="53" t="s">
        <v>95</v>
      </c>
      <c r="Y2" s="53"/>
      <c r="Z2" s="53"/>
      <c r="AA2" s="52"/>
      <c r="AB2" s="53" t="s">
        <v>96</v>
      </c>
      <c r="AC2" s="53"/>
      <c r="AD2" s="53"/>
      <c r="AE2" s="52"/>
      <c r="AF2" s="53" t="s">
        <v>97</v>
      </c>
      <c r="AG2" s="53"/>
      <c r="AH2" s="53"/>
    </row>
    <row r="3" spans="1:34">
      <c r="A3" s="49" t="s">
        <v>100</v>
      </c>
      <c r="H3" s="51" t="s">
        <v>98</v>
      </c>
      <c r="I3" s="54">
        <v>0.2</v>
      </c>
      <c r="J3" s="49" t="s">
        <v>90</v>
      </c>
      <c r="K3" s="49"/>
      <c r="L3" s="51" t="s">
        <v>98</v>
      </c>
      <c r="M3" s="54">
        <v>0.6</v>
      </c>
      <c r="N3" s="49" t="s">
        <v>90</v>
      </c>
      <c r="O3" s="49"/>
      <c r="P3" s="51" t="s">
        <v>98</v>
      </c>
      <c r="Q3" s="54">
        <v>0.5</v>
      </c>
      <c r="R3" s="49" t="s">
        <v>90</v>
      </c>
      <c r="S3" s="49"/>
      <c r="T3" s="51" t="s">
        <v>98</v>
      </c>
      <c r="U3" s="54">
        <v>0.38</v>
      </c>
      <c r="V3" s="49" t="s">
        <v>90</v>
      </c>
      <c r="W3" s="49"/>
      <c r="X3" s="51" t="s">
        <v>98</v>
      </c>
      <c r="Y3" s="54">
        <f>M3-I3</f>
        <v>0.39999999999999997</v>
      </c>
      <c r="Z3" s="49" t="s">
        <v>90</v>
      </c>
      <c r="AA3" s="49"/>
      <c r="AB3" s="51" t="s">
        <v>98</v>
      </c>
      <c r="AC3" s="54">
        <f>Q3-I3</f>
        <v>0.3</v>
      </c>
      <c r="AD3" s="49" t="s">
        <v>90</v>
      </c>
      <c r="AE3" s="49"/>
      <c r="AF3" s="51" t="s">
        <v>98</v>
      </c>
      <c r="AG3" s="54">
        <f>U3-I3</f>
        <v>0.18</v>
      </c>
      <c r="AH3" s="49" t="s">
        <v>90</v>
      </c>
    </row>
    <row r="4" spans="1:34">
      <c r="A4" s="49" t="s">
        <v>101</v>
      </c>
      <c r="F4" s="49"/>
      <c r="H4" s="51" t="s">
        <v>89</v>
      </c>
      <c r="I4" s="55">
        <f>I3*110</f>
        <v>22</v>
      </c>
      <c r="J4" s="49" t="s">
        <v>99</v>
      </c>
      <c r="K4" s="49"/>
      <c r="L4" s="51" t="s">
        <v>89</v>
      </c>
      <c r="M4" s="55">
        <f>M3*110</f>
        <v>66</v>
      </c>
      <c r="N4" s="49" t="s">
        <v>99</v>
      </c>
      <c r="O4" s="49"/>
      <c r="P4" s="51" t="s">
        <v>89</v>
      </c>
      <c r="Q4" s="55">
        <f>Q3*110</f>
        <v>55</v>
      </c>
      <c r="R4" s="49" t="s">
        <v>99</v>
      </c>
      <c r="S4" s="49"/>
      <c r="T4" s="51" t="s">
        <v>89</v>
      </c>
      <c r="U4" s="55">
        <f>U3*110</f>
        <v>41.8</v>
      </c>
      <c r="V4" s="49" t="s">
        <v>99</v>
      </c>
      <c r="W4" s="49"/>
      <c r="X4" s="51" t="s">
        <v>89</v>
      </c>
      <c r="Y4" s="55">
        <f>Y3*110</f>
        <v>43.999999999999993</v>
      </c>
      <c r="Z4" s="49" t="s">
        <v>99</v>
      </c>
      <c r="AA4" s="49"/>
      <c r="AB4" s="51" t="s">
        <v>89</v>
      </c>
      <c r="AC4" s="55">
        <f>AC3*110</f>
        <v>33</v>
      </c>
      <c r="AD4" s="49" t="s">
        <v>99</v>
      </c>
      <c r="AE4" s="49"/>
      <c r="AF4" s="51" t="s">
        <v>89</v>
      </c>
      <c r="AG4" s="55">
        <f>AG3*110</f>
        <v>19.8</v>
      </c>
      <c r="AH4" s="49" t="s">
        <v>99</v>
      </c>
    </row>
    <row r="5" spans="1:34">
      <c r="A5" s="49"/>
      <c r="B5" t="s">
        <v>1</v>
      </c>
      <c r="F5" s="49"/>
      <c r="G5" s="49"/>
      <c r="H5" s="51" t="s">
        <v>89</v>
      </c>
      <c r="I5" s="55">
        <f>I4/1000</f>
        <v>2.1999999999999999E-2</v>
      </c>
      <c r="J5" s="49" t="s">
        <v>4</v>
      </c>
      <c r="K5" s="49"/>
      <c r="L5" s="51" t="s">
        <v>89</v>
      </c>
      <c r="M5" s="55">
        <f>M4/1000</f>
        <v>6.6000000000000003E-2</v>
      </c>
      <c r="N5" s="49" t="s">
        <v>4</v>
      </c>
      <c r="O5" s="49"/>
      <c r="P5" s="51" t="s">
        <v>89</v>
      </c>
      <c r="Q5" s="55">
        <f>Q4/1000</f>
        <v>5.5E-2</v>
      </c>
      <c r="R5" s="49" t="s">
        <v>4</v>
      </c>
      <c r="S5" s="49"/>
      <c r="T5" s="51" t="s">
        <v>89</v>
      </c>
      <c r="U5" s="55">
        <f>U4/1000</f>
        <v>4.1799999999999997E-2</v>
      </c>
      <c r="V5" s="49" t="s">
        <v>4</v>
      </c>
      <c r="W5" s="49"/>
      <c r="X5" s="51" t="s">
        <v>89</v>
      </c>
      <c r="Y5" s="55">
        <f>Y4/1000</f>
        <v>4.3999999999999991E-2</v>
      </c>
      <c r="Z5" s="49" t="s">
        <v>4</v>
      </c>
      <c r="AA5" s="49"/>
      <c r="AB5" s="51" t="s">
        <v>89</v>
      </c>
      <c r="AC5" s="55">
        <f>AC4/1000</f>
        <v>3.3000000000000002E-2</v>
      </c>
      <c r="AD5" s="49" t="s">
        <v>4</v>
      </c>
      <c r="AE5" s="49"/>
      <c r="AF5" s="51" t="s">
        <v>89</v>
      </c>
      <c r="AG5" s="55">
        <f>AG4/1000</f>
        <v>1.9800000000000002E-2</v>
      </c>
      <c r="AH5" s="49" t="s">
        <v>4</v>
      </c>
    </row>
    <row r="6" spans="1:34">
      <c r="A6" s="49" t="s">
        <v>102</v>
      </c>
      <c r="H6" s="51" t="s">
        <v>103</v>
      </c>
      <c r="I6" s="54">
        <v>8.4003999999999995E-2</v>
      </c>
      <c r="J6" s="49" t="s">
        <v>5</v>
      </c>
      <c r="K6" s="49"/>
      <c r="L6" s="51" t="s">
        <v>103</v>
      </c>
      <c r="M6" s="55">
        <f>I6</f>
        <v>8.4003999999999995E-2</v>
      </c>
      <c r="N6" s="49" t="s">
        <v>5</v>
      </c>
      <c r="O6" s="49"/>
      <c r="P6" s="51" t="s">
        <v>103</v>
      </c>
      <c r="Q6" s="55">
        <f>M6</f>
        <v>8.4003999999999995E-2</v>
      </c>
      <c r="R6" s="49" t="s">
        <v>5</v>
      </c>
      <c r="S6" s="49"/>
      <c r="T6" s="51" t="s">
        <v>103</v>
      </c>
      <c r="U6" s="55">
        <f>Q6</f>
        <v>8.4003999999999995E-2</v>
      </c>
      <c r="V6" s="49" t="s">
        <v>5</v>
      </c>
      <c r="W6" s="49"/>
      <c r="X6" s="51" t="s">
        <v>103</v>
      </c>
      <c r="Y6" s="55">
        <f>U6</f>
        <v>8.4003999999999995E-2</v>
      </c>
      <c r="Z6" s="49" t="s">
        <v>5</v>
      </c>
      <c r="AA6" s="49"/>
      <c r="AB6" s="51" t="s">
        <v>103</v>
      </c>
      <c r="AC6" s="55">
        <f>Y6</f>
        <v>8.4003999999999995E-2</v>
      </c>
      <c r="AD6" s="49" t="s">
        <v>5</v>
      </c>
      <c r="AE6" s="49"/>
      <c r="AF6" s="51" t="s">
        <v>103</v>
      </c>
      <c r="AG6" s="55">
        <f>AC6</f>
        <v>8.4003999999999995E-2</v>
      </c>
      <c r="AH6" s="49" t="s">
        <v>5</v>
      </c>
    </row>
    <row r="7" spans="1:34">
      <c r="A7" s="49" t="s">
        <v>104</v>
      </c>
      <c r="H7" s="51" t="s">
        <v>103</v>
      </c>
      <c r="I7" s="55">
        <f>I5*I6</f>
        <v>1.8480879999999997E-3</v>
      </c>
      <c r="J7" s="49" t="s">
        <v>105</v>
      </c>
      <c r="K7" s="49"/>
      <c r="L7" s="51" t="s">
        <v>103</v>
      </c>
      <c r="M7" s="55">
        <f>M5*M6</f>
        <v>5.5442640000000001E-3</v>
      </c>
      <c r="N7" s="49" t="s">
        <v>105</v>
      </c>
      <c r="O7" s="49"/>
      <c r="P7" s="51" t="s">
        <v>103</v>
      </c>
      <c r="Q7" s="55">
        <f>Q5*Q6</f>
        <v>4.6202199999999995E-3</v>
      </c>
      <c r="R7" s="49" t="s">
        <v>105</v>
      </c>
      <c r="S7" s="49"/>
      <c r="T7" s="51" t="s">
        <v>103</v>
      </c>
      <c r="U7" s="55">
        <f>U5*U6</f>
        <v>3.5113671999999997E-3</v>
      </c>
      <c r="V7" s="49" t="s">
        <v>105</v>
      </c>
      <c r="W7" s="49"/>
      <c r="X7" s="51" t="s">
        <v>103</v>
      </c>
      <c r="Y7" s="55">
        <f>Y5*Y6</f>
        <v>3.6961759999999989E-3</v>
      </c>
      <c r="Z7" s="49" t="s">
        <v>105</v>
      </c>
      <c r="AA7" s="49"/>
      <c r="AB7" s="51" t="s">
        <v>103</v>
      </c>
      <c r="AC7" s="55">
        <f>AC5*AC6</f>
        <v>2.7721320000000001E-3</v>
      </c>
      <c r="AD7" s="49" t="s">
        <v>105</v>
      </c>
      <c r="AE7" s="49"/>
      <c r="AF7" s="51" t="s">
        <v>103</v>
      </c>
      <c r="AG7" s="55">
        <f>AG5*AG6</f>
        <v>1.6632792E-3</v>
      </c>
      <c r="AH7" s="49" t="s">
        <v>105</v>
      </c>
    </row>
    <row r="8" spans="1:34">
      <c r="A8" s="1" t="s">
        <v>106</v>
      </c>
      <c r="H8" s="51" t="s">
        <v>103</v>
      </c>
      <c r="I8" s="55">
        <f>I7*24</f>
        <v>4.4354111999999994E-2</v>
      </c>
      <c r="J8" s="49" t="s">
        <v>83</v>
      </c>
      <c r="K8" s="49"/>
      <c r="L8" s="51" t="s">
        <v>103</v>
      </c>
      <c r="M8" s="55">
        <f>M7*24</f>
        <v>0.133062336</v>
      </c>
      <c r="N8" s="49" t="s">
        <v>83</v>
      </c>
      <c r="O8" s="49"/>
      <c r="P8" s="51" t="s">
        <v>103</v>
      </c>
      <c r="Q8" s="55">
        <f>Q7*24</f>
        <v>0.11088527999999999</v>
      </c>
      <c r="R8" s="49" t="s">
        <v>83</v>
      </c>
      <c r="S8" s="49"/>
      <c r="T8" s="51" t="s">
        <v>103</v>
      </c>
      <c r="U8" s="55">
        <f>U7*24</f>
        <v>8.4272812799999985E-2</v>
      </c>
      <c r="V8" s="49" t="s">
        <v>83</v>
      </c>
      <c r="W8" s="49"/>
      <c r="X8" s="51" t="s">
        <v>103</v>
      </c>
      <c r="Y8" s="55">
        <f>Y7*24</f>
        <v>8.8708223999999974E-2</v>
      </c>
      <c r="Z8" s="49" t="s">
        <v>83</v>
      </c>
      <c r="AA8" s="49"/>
      <c r="AB8" s="51" t="s">
        <v>103</v>
      </c>
      <c r="AC8" s="55">
        <f>AC7*24</f>
        <v>6.6531168000000002E-2</v>
      </c>
      <c r="AD8" s="49" t="s">
        <v>83</v>
      </c>
      <c r="AE8" s="49"/>
      <c r="AF8" s="51" t="s">
        <v>103</v>
      </c>
      <c r="AG8" s="55">
        <f>AG7*24</f>
        <v>3.9918700799999998E-2</v>
      </c>
      <c r="AH8" s="49" t="s">
        <v>83</v>
      </c>
    </row>
    <row r="9" spans="1:34">
      <c r="A9" s="2" t="s">
        <v>107</v>
      </c>
      <c r="H9" s="51" t="s">
        <v>103</v>
      </c>
      <c r="I9" s="55">
        <f>I7*100</f>
        <v>0.18480879999999997</v>
      </c>
      <c r="L9" s="51" t="s">
        <v>103</v>
      </c>
      <c r="M9" s="55">
        <f>M7*100</f>
        <v>0.55442639999999999</v>
      </c>
      <c r="P9" s="51" t="s">
        <v>103</v>
      </c>
      <c r="Q9" s="55">
        <f>Q7*100</f>
        <v>0.46202199999999993</v>
      </c>
      <c r="T9" s="51" t="s">
        <v>103</v>
      </c>
      <c r="U9" s="55">
        <f>U7*100</f>
        <v>0.35113671999999996</v>
      </c>
      <c r="X9" s="51" t="s">
        <v>103</v>
      </c>
      <c r="Y9" s="55">
        <f>Y7*100</f>
        <v>0.36961759999999988</v>
      </c>
      <c r="AB9" s="51" t="s">
        <v>103</v>
      </c>
      <c r="AC9" s="55">
        <f>AC7*100</f>
        <v>0.27721319999999999</v>
      </c>
      <c r="AF9" s="51" t="s">
        <v>103</v>
      </c>
      <c r="AG9" s="55">
        <f>AG7*100</f>
        <v>0.16632791999999999</v>
      </c>
    </row>
    <row r="10" spans="1:34">
      <c r="A10" s="1" t="s">
        <v>108</v>
      </c>
      <c r="H10" s="51" t="s">
        <v>103</v>
      </c>
      <c r="I10" s="55">
        <f>I7*168</f>
        <v>0.31047878399999995</v>
      </c>
      <c r="L10" s="51" t="s">
        <v>103</v>
      </c>
      <c r="M10" s="55">
        <f>M7*168</f>
        <v>0.93143635199999997</v>
      </c>
      <c r="P10" s="51" t="s">
        <v>103</v>
      </c>
      <c r="Q10" s="55">
        <f>Q7*168</f>
        <v>0.77619695999999994</v>
      </c>
      <c r="T10" s="51" t="s">
        <v>103</v>
      </c>
      <c r="U10" s="55">
        <f>U7*168</f>
        <v>0.5899096895999999</v>
      </c>
      <c r="X10" s="51" t="s">
        <v>103</v>
      </c>
      <c r="Y10" s="55">
        <f>Y7*168</f>
        <v>0.62095756799999979</v>
      </c>
      <c r="AB10" s="51" t="s">
        <v>103</v>
      </c>
      <c r="AC10" s="55">
        <f>AC7*168</f>
        <v>0.46571817599999998</v>
      </c>
      <c r="AF10" s="51" t="s">
        <v>103</v>
      </c>
      <c r="AG10" s="55">
        <f>AG7*168</f>
        <v>0.2794309056</v>
      </c>
    </row>
    <row r="11" spans="1:34">
      <c r="A11" s="2" t="s">
        <v>109</v>
      </c>
      <c r="H11" s="51" t="s">
        <v>103</v>
      </c>
      <c r="I11" s="55">
        <f>I7*500</f>
        <v>0.92404399999999987</v>
      </c>
      <c r="L11" s="51" t="s">
        <v>103</v>
      </c>
      <c r="M11" s="55">
        <f>M7*500</f>
        <v>2.772132</v>
      </c>
      <c r="P11" s="51" t="s">
        <v>103</v>
      </c>
      <c r="Q11" s="55">
        <f>Q7*500</f>
        <v>2.3101099999999999</v>
      </c>
      <c r="T11" s="51" t="s">
        <v>103</v>
      </c>
      <c r="U11" s="55">
        <f>U7*500</f>
        <v>1.7556835999999998</v>
      </c>
      <c r="X11" s="51" t="s">
        <v>103</v>
      </c>
      <c r="Y11" s="55">
        <f>Y7*500</f>
        <v>1.8480879999999995</v>
      </c>
      <c r="AB11" s="51" t="s">
        <v>103</v>
      </c>
      <c r="AC11" s="55">
        <f>AC7*500</f>
        <v>1.386066</v>
      </c>
      <c r="AF11" s="51" t="s">
        <v>103</v>
      </c>
      <c r="AG11" s="55">
        <f>AG7*500</f>
        <v>0.83163960000000003</v>
      </c>
    </row>
    <row r="12" spans="1:34">
      <c r="A12" s="1" t="s">
        <v>110</v>
      </c>
      <c r="H12" s="51" t="s">
        <v>103</v>
      </c>
      <c r="I12" s="55">
        <f>I7*720</f>
        <v>1.3306233599999997</v>
      </c>
      <c r="L12" s="51" t="s">
        <v>103</v>
      </c>
      <c r="M12" s="55">
        <f>M7*720</f>
        <v>3.99187008</v>
      </c>
      <c r="P12" s="51" t="s">
        <v>103</v>
      </c>
      <c r="Q12" s="55">
        <f>Q7*720</f>
        <v>3.3265583999999997</v>
      </c>
      <c r="T12" s="51" t="s">
        <v>103</v>
      </c>
      <c r="U12" s="55">
        <f>U7*720</f>
        <v>2.5281843839999998</v>
      </c>
      <c r="X12" s="51" t="s">
        <v>103</v>
      </c>
      <c r="Y12" s="55">
        <f>Y7*720</f>
        <v>2.6612467199999994</v>
      </c>
      <c r="AB12" s="51" t="s">
        <v>103</v>
      </c>
      <c r="AC12" s="55">
        <f>AC7*720</f>
        <v>1.99593504</v>
      </c>
      <c r="AF12" s="51" t="s">
        <v>103</v>
      </c>
      <c r="AG12" s="55">
        <f>AG7*720</f>
        <v>1.1975610240000001</v>
      </c>
    </row>
    <row r="13" spans="1:34">
      <c r="A13" s="2" t="s">
        <v>111</v>
      </c>
      <c r="H13" s="51" t="s">
        <v>103</v>
      </c>
      <c r="I13" s="55">
        <f>I7*1000</f>
        <v>1.8480879999999997</v>
      </c>
      <c r="L13" s="51" t="s">
        <v>103</v>
      </c>
      <c r="M13" s="55">
        <f>M7*1000</f>
        <v>5.5442640000000001</v>
      </c>
      <c r="P13" s="51" t="s">
        <v>103</v>
      </c>
      <c r="Q13" s="55">
        <f>Q7*1000</f>
        <v>4.6202199999999998</v>
      </c>
      <c r="T13" s="51" t="s">
        <v>103</v>
      </c>
      <c r="U13" s="55">
        <f>U7*1000</f>
        <v>3.5113671999999996</v>
      </c>
      <c r="X13" s="51" t="s">
        <v>103</v>
      </c>
      <c r="Y13" s="55">
        <f>Y7*1000</f>
        <v>3.696175999999999</v>
      </c>
      <c r="AB13" s="51" t="s">
        <v>103</v>
      </c>
      <c r="AC13" s="55">
        <f>AC7*1000</f>
        <v>2.772132</v>
      </c>
      <c r="AF13" s="51" t="s">
        <v>103</v>
      </c>
      <c r="AG13" s="55">
        <f>AG7*1000</f>
        <v>1.6632792000000001</v>
      </c>
    </row>
    <row r="14" spans="1:34">
      <c r="A14" s="2" t="s">
        <v>112</v>
      </c>
      <c r="H14" s="51" t="s">
        <v>103</v>
      </c>
      <c r="I14" s="55">
        <f>I7*2500</f>
        <v>4.6202199999999989</v>
      </c>
      <c r="L14" s="51" t="s">
        <v>103</v>
      </c>
      <c r="M14" s="55">
        <f>M7*2500</f>
        <v>13.860660000000001</v>
      </c>
      <c r="P14" s="51" t="s">
        <v>103</v>
      </c>
      <c r="Q14" s="55">
        <f>Q7*2500</f>
        <v>11.550549999999999</v>
      </c>
      <c r="T14" s="51" t="s">
        <v>103</v>
      </c>
      <c r="U14" s="55">
        <f>U7*2500</f>
        <v>8.7784179999999985</v>
      </c>
      <c r="X14" s="51" t="s">
        <v>103</v>
      </c>
      <c r="Y14" s="55">
        <f>Y7*2500</f>
        <v>9.2404399999999978</v>
      </c>
      <c r="AB14" s="51" t="s">
        <v>103</v>
      </c>
      <c r="AC14" s="55">
        <f>AC7*2500</f>
        <v>6.9303300000000005</v>
      </c>
      <c r="AF14" s="51" t="s">
        <v>103</v>
      </c>
      <c r="AG14" s="55">
        <f>AG7*2500</f>
        <v>4.1581979999999996</v>
      </c>
    </row>
    <row r="15" spans="1:34">
      <c r="A15" s="2" t="s">
        <v>113</v>
      </c>
      <c r="H15" s="51" t="s">
        <v>103</v>
      </c>
      <c r="I15" s="55">
        <f>I7*5000</f>
        <v>9.2404399999999978</v>
      </c>
      <c r="L15" s="51" t="s">
        <v>103</v>
      </c>
      <c r="M15" s="55">
        <f>M7*5000</f>
        <v>27.721320000000002</v>
      </c>
      <c r="P15" s="51" t="s">
        <v>103</v>
      </c>
      <c r="Q15" s="55">
        <f>Q7*5000</f>
        <v>23.101099999999999</v>
      </c>
      <c r="T15" s="51" t="s">
        <v>103</v>
      </c>
      <c r="U15" s="55">
        <f>U7*5000</f>
        <v>17.556835999999997</v>
      </c>
      <c r="X15" s="51" t="s">
        <v>103</v>
      </c>
      <c r="Y15" s="55">
        <f>Y7*5000</f>
        <v>18.480879999999996</v>
      </c>
      <c r="AB15" s="51" t="s">
        <v>103</v>
      </c>
      <c r="AC15" s="55">
        <f>AC7*5000</f>
        <v>13.860660000000001</v>
      </c>
      <c r="AF15" s="51" t="s">
        <v>103</v>
      </c>
      <c r="AG15" s="55">
        <f>AG7*5000</f>
        <v>8.3163959999999992</v>
      </c>
    </row>
    <row r="16" spans="1:34">
      <c r="A16" s="2" t="s">
        <v>114</v>
      </c>
      <c r="H16" s="51" t="s">
        <v>103</v>
      </c>
      <c r="I16" s="55">
        <f>I7*6000</f>
        <v>11.088527999999998</v>
      </c>
      <c r="L16" s="51" t="s">
        <v>103</v>
      </c>
      <c r="M16" s="55">
        <f>M7*6000</f>
        <v>33.265584000000004</v>
      </c>
      <c r="P16" s="51" t="s">
        <v>103</v>
      </c>
      <c r="Q16" s="55">
        <f>Q7*6000</f>
        <v>27.721319999999999</v>
      </c>
      <c r="T16" s="51" t="s">
        <v>103</v>
      </c>
      <c r="U16" s="55">
        <f>U7*6000</f>
        <v>21.068203199999999</v>
      </c>
      <c r="X16" s="51" t="s">
        <v>103</v>
      </c>
      <c r="Y16" s="55">
        <f>Y7*6000</f>
        <v>22.177055999999993</v>
      </c>
      <c r="AB16" s="51" t="s">
        <v>103</v>
      </c>
      <c r="AC16" s="55">
        <f>AC7*6000</f>
        <v>16.632792000000002</v>
      </c>
      <c r="AF16" s="51" t="s">
        <v>103</v>
      </c>
      <c r="AG16" s="55">
        <f>AG7*6000</f>
        <v>9.9796752000000009</v>
      </c>
    </row>
    <row r="17" spans="1:33">
      <c r="A17" s="1" t="s">
        <v>115</v>
      </c>
      <c r="H17" s="51" t="s">
        <v>103</v>
      </c>
      <c r="I17" s="55">
        <f>I7*8760</f>
        <v>16.189250879999996</v>
      </c>
      <c r="L17" s="51" t="s">
        <v>103</v>
      </c>
      <c r="M17" s="55">
        <f>M7*8760</f>
        <v>48.567752640000002</v>
      </c>
      <c r="P17" s="51" t="s">
        <v>103</v>
      </c>
      <c r="Q17" s="55">
        <f>Q7*8760</f>
        <v>40.473127199999993</v>
      </c>
      <c r="T17" s="51" t="s">
        <v>103</v>
      </c>
      <c r="U17" s="55">
        <f>U7*8760</f>
        <v>30.759576671999998</v>
      </c>
      <c r="X17" s="51" t="s">
        <v>103</v>
      </c>
      <c r="Y17" s="55">
        <f>Y7*8760</f>
        <v>32.378501759999992</v>
      </c>
      <c r="AB17" s="51" t="s">
        <v>103</v>
      </c>
      <c r="AC17" s="55">
        <f>AC7*8760</f>
        <v>24.283876320000001</v>
      </c>
      <c r="AF17" s="51" t="s">
        <v>103</v>
      </c>
      <c r="AG17" s="55">
        <f>AG7*8760</f>
        <v>14.570325792</v>
      </c>
    </row>
    <row r="18" spans="1:33">
      <c r="A18" s="1" t="s">
        <v>116</v>
      </c>
      <c r="H18" s="51" t="s">
        <v>103</v>
      </c>
      <c r="I18" s="55">
        <f>I7*26280</f>
        <v>48.567752639999995</v>
      </c>
      <c r="L18" s="51" t="s">
        <v>103</v>
      </c>
      <c r="M18" s="55">
        <f>M7*26280</f>
        <v>145.70325792</v>
      </c>
      <c r="P18" s="51" t="s">
        <v>103</v>
      </c>
      <c r="Q18" s="55">
        <f>Q7*26280</f>
        <v>121.41938159999999</v>
      </c>
      <c r="T18" s="51" t="s">
        <v>103</v>
      </c>
      <c r="U18" s="55">
        <f>U7*26280</f>
        <v>92.278730015999997</v>
      </c>
      <c r="X18" s="51" t="s">
        <v>103</v>
      </c>
      <c r="Y18" s="55">
        <f>Y7*26280</f>
        <v>97.135505279999975</v>
      </c>
      <c r="AB18" s="51" t="s">
        <v>103</v>
      </c>
      <c r="AC18" s="55">
        <f>AC7*26280</f>
        <v>72.851628959999999</v>
      </c>
      <c r="AF18" s="51" t="s">
        <v>103</v>
      </c>
      <c r="AG18" s="55">
        <f>AG7*26280</f>
        <v>43.710977376000002</v>
      </c>
    </row>
    <row r="19" spans="1:33">
      <c r="A19" s="1" t="s">
        <v>117</v>
      </c>
      <c r="H19" s="51" t="s">
        <v>103</v>
      </c>
      <c r="I19" s="55">
        <f>I7*30000</f>
        <v>55.44263999999999</v>
      </c>
      <c r="L19" s="51" t="s">
        <v>103</v>
      </c>
      <c r="M19" s="55">
        <f>M7*30000</f>
        <v>166.32792000000001</v>
      </c>
      <c r="P19" s="51" t="s">
        <v>103</v>
      </c>
      <c r="Q19" s="55">
        <f>Q7*30000</f>
        <v>138.60659999999999</v>
      </c>
      <c r="T19" s="51" t="s">
        <v>103</v>
      </c>
      <c r="U19" s="55">
        <f>U7*30000</f>
        <v>105.341016</v>
      </c>
      <c r="X19" s="51" t="s">
        <v>103</v>
      </c>
      <c r="Y19" s="55">
        <f>Y7*30000</f>
        <v>110.88527999999997</v>
      </c>
      <c r="AB19" s="51" t="s">
        <v>103</v>
      </c>
      <c r="AC19" s="55">
        <f>AC7*30000</f>
        <v>83.163960000000003</v>
      </c>
      <c r="AF19" s="51" t="s">
        <v>103</v>
      </c>
      <c r="AG19" s="55">
        <f>AG7*30000</f>
        <v>49.898375999999999</v>
      </c>
    </row>
  </sheetData>
  <mergeCells count="7">
    <mergeCell ref="AB2:AD2"/>
    <mergeCell ref="AF2:AH2"/>
    <mergeCell ref="H2:J2"/>
    <mergeCell ref="L2:N2"/>
    <mergeCell ref="P2:R2"/>
    <mergeCell ref="T2:V2"/>
    <mergeCell ref="X2:Z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Light Bulb Cost Savings</vt:lpstr>
      <vt:lpstr>Water Savings</vt:lpstr>
      <vt:lpstr>Ceiling Fan Savings</vt:lpstr>
    </vt:vector>
  </TitlesOfParts>
  <Company>Williams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Light Bulb Savings Calculator</dc:title>
  <dc:subject>Light Bulb Savings Calculator</dc:subject>
  <dc:creator>M. Giles Hullinger, P.E.</dc:creator>
  <cp:keywords>Light Bulb Savings Calculator</cp:keywords>
  <dc:description>Copyright 2013.  All rights reserved.</dc:description>
  <cp:lastModifiedBy>Mark Hullinger</cp:lastModifiedBy>
  <cp:lastPrinted>2008-04-28T20:44:48Z</cp:lastPrinted>
  <dcterms:created xsi:type="dcterms:W3CDTF">2005-02-09T20:43:25Z</dcterms:created>
  <dcterms:modified xsi:type="dcterms:W3CDTF">2013-06-08T06:48:17Z</dcterms:modified>
</cp:coreProperties>
</file>