
<file path=[Content_Types].xml><?xml version="1.0" encoding="utf-8"?>
<Types xmlns="http://schemas.openxmlformats.org/package/2006/content-types">
  <Override PartName="/xl/embeddings/oleObject8.bin" ContentType="application/vnd.openxmlformats-officedocument.oleObject"/>
  <Override PartName="/xl/embeddings/oleObject14.bin" ContentType="application/vnd.openxmlformats-officedocument.oleObject"/>
  <Override PartName="/xl/embeddings/oleObject23.bin" ContentType="application/vnd.openxmlformats-officedocument.oleObject"/>
  <Override PartName="/xl/charts/chart6.xml" ContentType="application/vnd.openxmlformats-officedocument.drawingml.chart+xml"/>
  <Override PartName="/xl/embeddings/oleObject34.bin" ContentType="application/vnd.openxmlformats-officedocument.oleObject"/>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embeddings/oleObject6.bin" ContentType="application/vnd.openxmlformats-officedocument.oleObject"/>
  <Override PartName="/xl/embeddings/oleObject12.bin" ContentType="application/vnd.openxmlformats-officedocument.oleObject"/>
  <Override PartName="/xl/embeddings/oleObject21.bin" ContentType="application/vnd.openxmlformats-officedocument.oleObject"/>
  <Override PartName="/xl/charts/chart4.xml" ContentType="application/vnd.openxmlformats-officedocument.drawingml.chart+xml"/>
  <Override PartName="/xl/drawings/drawing6.xml" ContentType="application/vnd.openxmlformats-officedocument.drawing+xml"/>
  <Override PartName="/xl/drawings/drawing8.xml" ContentType="application/vnd.openxmlformats-officedocument.drawing+xml"/>
  <Override PartName="/xl/embeddings/oleObject32.bin" ContentType="application/vnd.openxmlformats-officedocument.oleObject"/>
  <Override PartName="/xl/worksheets/sheet7.xml" ContentType="application/vnd.openxmlformats-officedocument.spreadsheetml.worksheet+xml"/>
  <Override PartName="/xl/worksheets/sheet11.xml" ContentType="application/vnd.openxmlformats-officedocument.spreadsheetml.worksheet+xml"/>
  <Override PartName="/xl/embeddings/oleObject4.bin" ContentType="application/vnd.openxmlformats-officedocument.oleObject"/>
  <Override PartName="/xl/embeddings/oleObject10.bin" ContentType="application/vnd.openxmlformats-officedocument.oleObject"/>
  <Override PartName="/xl/charts/chart2.xml" ContentType="application/vnd.openxmlformats-officedocument.drawingml.chart+xml"/>
  <Override PartName="/xl/drawings/drawing4.xml" ContentType="application/vnd.openxmlformats-officedocument.drawing+xml"/>
  <Override PartName="/xl/embeddings/oleObject30.bin" ContentType="application/vnd.openxmlformats-officedocument.oleObject"/>
  <Default Extension="rels" ContentType="application/vnd.openxmlformats-package.relationships+xml"/>
  <Default Extension="xml" ContentType="application/xml"/>
  <Override PartName="/xl/worksheets/sheet5.xml" ContentType="application/vnd.openxmlformats-officedocument.spreadsheetml.worksheet+xml"/>
  <Override PartName="/xl/embeddings/oleObject2.bin" ContentType="application/vnd.openxmlformats-officedocument.oleObject"/>
  <Override PartName="/xl/drawings/drawing2.xml" ContentType="application/vnd.openxmlformats-officedocument.drawing+xml"/>
  <Override PartName="/xl/worksheets/sheet3.xml" ContentType="application/vnd.openxmlformats-officedocument.spreadsheetml.worksheet+xml"/>
  <Override PartName="/xl/chartsheets/sheet6.xml" ContentType="application/vnd.openxmlformats-officedocument.spreadsheetml.chartsheet+xml"/>
  <Override PartName="/xl/comments2.xml" ContentType="application/vnd.openxmlformats-officedocument.spreadsheetml.comments+xml"/>
  <Override PartName="/xl/worksheets/sheet1.xml" ContentType="application/vnd.openxmlformats-officedocument.spreadsheetml.worksheet+xml"/>
  <Override PartName="/xl/chartsheets/sheet4.xml" ContentType="application/vnd.openxmlformats-officedocument.spreadsheetml.chartsheet+xml"/>
  <Override PartName="/xl/embeddings/oleObject39.bin" ContentType="application/vnd.openxmlformats-officedocument.oleObject"/>
  <Override PartName="/xl/drawings/drawing11.xml" ContentType="application/vnd.openxmlformats-officedocument.drawing+xml"/>
  <Override PartName="/xl/chartsheets/sheet2.xml" ContentType="application/vnd.openxmlformats-officedocument.spreadsheetml.chartsheet+xml"/>
  <Override PartName="/xl/sharedStrings.xml" ContentType="application/vnd.openxmlformats-officedocument.spreadsheetml.sharedStrings+xml"/>
  <Override PartName="/xl/embeddings/oleObject19.bin" ContentType="application/vnd.openxmlformats-officedocument.oleObject"/>
  <Override PartName="/xl/embeddings/oleObject28.bin" ContentType="application/vnd.openxmlformats-officedocument.oleObject"/>
  <Override PartName="/xl/embeddings/oleObject37.bin" ContentType="application/vnd.openxmlformats-officedocument.oleObject"/>
  <Override PartName="/xl/embeddings/oleObject9.bin" ContentType="application/vnd.openxmlformats-officedocument.oleObject"/>
  <Override PartName="/xl/embeddings/oleObject17.bin" ContentType="application/vnd.openxmlformats-officedocument.oleObject"/>
  <Override PartName="/xl/embeddings/oleObject26.bin" ContentType="application/vnd.openxmlformats-officedocument.oleObject"/>
  <Override PartName="/xl/embeddings/oleObject35.bin" ContentType="application/vnd.openxmlformats-officedocument.oleObject"/>
  <Default Extension="bin" ContentType="application/vnd.openxmlformats-officedocument.spreadsheetml.printerSettings"/>
  <Override PartName="/xl/embeddings/oleObject7.bin" ContentType="application/vnd.openxmlformats-officedocument.oleObject"/>
  <Override PartName="/xl/embeddings/oleObject15.bin" ContentType="application/vnd.openxmlformats-officedocument.oleObject"/>
  <Override PartName="/xl/embeddings/oleObject24.bin" ContentType="application/vnd.openxmlformats-officedocument.oleObject"/>
  <Override PartName="/xl/charts/chart7.xml" ContentType="application/vnd.openxmlformats-officedocument.drawingml.chart+xml"/>
  <Override PartName="/xl/embeddings/oleObject33.bin" ContentType="application/vnd.openxmlformats-officedocument.oleObject"/>
  <Override PartName="/xl/drawings/drawing9.xml" ContentType="application/vnd.openxmlformats-officedocument.drawing+xml"/>
  <Override PartName="/xl/embeddings/oleObject5.bin" ContentType="application/vnd.openxmlformats-officedocument.oleObject"/>
  <Override PartName="/xl/embeddings/oleObject13.bin" ContentType="application/vnd.openxmlformats-officedocument.oleObject"/>
  <Override PartName="/xl/embeddings/oleObject22.bin" ContentType="application/vnd.openxmlformats-officedocument.oleObject"/>
  <Override PartName="/xl/charts/chart5.xml" ContentType="application/vnd.openxmlformats-officedocument.drawingml.chart+xml"/>
  <Override PartName="/xl/drawings/drawing7.xml" ContentType="application/vnd.openxmlformats-officedocument.drawing+xml"/>
  <Override PartName="/xl/embeddings/oleObject31.bin" ContentType="application/vnd.openxmlformats-officedocument.oleObject"/>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embeddings/oleObject3.bin" ContentType="application/vnd.openxmlformats-officedocument.oleObject"/>
  <Override PartName="/xl/embeddings/oleObject11.bin" ContentType="application/vnd.openxmlformats-officedocument.oleObject"/>
  <Override PartName="/xl/embeddings/oleObject20.bin" ContentType="application/vnd.openxmlformats-officedocument.oleObject"/>
  <Default Extension="emf" ContentType="image/x-emf"/>
  <Override PartName="/xl/charts/chart3.xml" ContentType="application/vnd.openxmlformats-officedocument.drawingml.chart+xml"/>
  <Override PartName="/xl/drawings/drawing5.xml" ContentType="application/vnd.openxmlformats-officedocument.drawing+xml"/>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mbeddings/oleObject1.bin" ContentType="application/vnd.openxmlformats-officedocument.oleObject"/>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hartsheets/sheet5.xml" ContentType="application/vnd.openxmlformats-officedocument.spreadsheetml.chart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chartsheets/sheet3.xml" ContentType="application/vnd.openxmlformats-officedocument.spreadsheetml.chartsheet+xml"/>
  <Override PartName="/xl/embeddings/oleObject18.bin" ContentType="application/vnd.openxmlformats-officedocument.oleObject"/>
  <Override PartName="/xl/embeddings/oleObject29.bin" ContentType="application/vnd.openxmlformats-officedocument.oleObject"/>
  <Override PartName="/xl/embeddings/oleObject38.bin" ContentType="application/vnd.openxmlformats-officedocument.oleObject"/>
  <Override PartName="/xl/drawings/drawing10.xml" ContentType="application/vnd.openxmlformats-officedocument.drawing+xml"/>
  <Override PartName="/xl/chartsheets/sheet1.xml" ContentType="application/vnd.openxmlformats-officedocument.spreadsheetml.chartsheet+xml"/>
  <Override PartName="/xl/embeddings/oleObject16.bin" ContentType="application/vnd.openxmlformats-officedocument.oleObject"/>
  <Override PartName="/xl/embeddings/oleObject25.bin" ContentType="application/vnd.openxmlformats-officedocument.oleObject"/>
  <Override PartName="/xl/embeddings/oleObject27.bin" ContentType="application/vnd.openxmlformats-officedocument.oleObject"/>
  <Override PartName="/xl/embeddings/oleObject36.bin" ContentType="application/vnd.openxmlformats-officedocument.oleObject"/>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5" yWindow="-15" windowWidth="12015" windowHeight="13740"/>
  </bookViews>
  <sheets>
    <sheet name="Orifice Calculator" sheetId="22" r:id="rId1"/>
    <sheet name="Z Calculation Method 1" sheetId="20" state="hidden" r:id="rId2"/>
    <sheet name="Z Calculation Method 2" sheetId="21" state="hidden" r:id="rId3"/>
    <sheet name="DATA - MW = 15.95 (Sp Gr= 0.55)" sheetId="10" state="hidden" r:id="rId4"/>
    <sheet name="Z - Chart - MW = 15.95 (1)" sheetId="11" state="hidden" r:id="rId5"/>
    <sheet name="Z - Chart - MW = 15.95 (2)" sheetId="12" state="hidden" r:id="rId6"/>
    <sheet name="DATA - MW = 17.40 (Sp Gr= 0.6)" sheetId="2" state="hidden" r:id="rId7"/>
    <sheet name="Z Chart - MW = 17.40 (1)" sheetId="6" state="hidden" r:id="rId8"/>
    <sheet name="Z Chart - MW = 17.40 (2)" sheetId="8" state="hidden" r:id="rId9"/>
    <sheet name="DATA - MW = 18.85 (Sp Gr= 0.65)" sheetId="13" state="hidden" r:id="rId10"/>
    <sheet name="Z - Chart - MW = 18.85 (1)" sheetId="14" state="hidden" r:id="rId11"/>
    <sheet name="Z - Chart - MW = 18.85 (2)" sheetId="15" state="hidden" r:id="rId12"/>
    <sheet name="Z Ratio - Velocity Sheet" sheetId="1" state="hidden" r:id="rId13"/>
    <sheet name="Orifice Calculator - Tables" sheetId="28" state="hidden" r:id="rId14"/>
    <sheet name="Fb Table" sheetId="23" r:id="rId15"/>
    <sheet name="b Table" sheetId="25" r:id="rId16"/>
    <sheet name="Y2 Table" sheetId="26" state="hidden" r:id="rId17"/>
    <sheet name="Y Table" sheetId="27" r:id="rId18"/>
  </sheets>
  <definedNames>
    <definedName name="A">'Z Calculation Method 2'!$B$21</definedName>
    <definedName name="B">'Z Calculation Method 2'!$B$20</definedName>
    <definedName name="CO">'Z Calculation Method 2'!$B$10</definedName>
    <definedName name="D">'Z Calculation Method 2'!$B$17</definedName>
    <definedName name="F">'Z Calculation Method 2'!$B$24</definedName>
    <definedName name="G">'Z Calculation Method 2'!$B$18</definedName>
    <definedName name="H">'Z Calculation Method 2'!$B$19</definedName>
    <definedName name="J">'Z Calculation Method 2'!$B$22</definedName>
    <definedName name="K">'Z Calculation Method 2'!$B$23</definedName>
    <definedName name="L">'Z Calculation Method 2'!$B$25</definedName>
    <definedName name="N">'Z Calculation Method 2'!$B$11</definedName>
    <definedName name="P">'Z Calculation Method 2'!$B$6</definedName>
    <definedName name="Patm">'Z Calculation Method 2'!$B$4</definedName>
    <definedName name="_xlnm.Print_Area" localSheetId="0">'Orifice Calculator'!$A$1:$CL$109</definedName>
    <definedName name="SG">'Z Calculation Method 2'!$B$9</definedName>
    <definedName name="T">'Z Calculation Method 2'!$B$8</definedName>
    <definedName name="X">'Z Calculation Method 2'!$B$14</definedName>
    <definedName name="Y">'Z Calculation Method 2'!$B$16</definedName>
    <definedName name="Z">'Z Calculation Method 2'!$B$15</definedName>
  </definedNames>
  <calcPr calcId="125725" iterate="1" iterateCount="99"/>
</workbook>
</file>

<file path=xl/calcChain.xml><?xml version="1.0" encoding="utf-8"?>
<calcChain xmlns="http://schemas.openxmlformats.org/spreadsheetml/2006/main">
  <c r="BP6" i="22"/>
  <c r="BP7"/>
  <c r="BP8"/>
  <c r="BP9"/>
  <c r="BP10"/>
  <c r="BP11"/>
  <c r="BP12"/>
  <c r="BP13"/>
  <c r="BP14"/>
  <c r="BP15"/>
  <c r="BP16"/>
  <c r="BP17"/>
  <c r="BP18"/>
  <c r="BP19"/>
  <c r="BP20"/>
  <c r="BP21"/>
  <c r="BP22"/>
  <c r="BP23"/>
  <c r="BP24"/>
  <c r="BP25"/>
  <c r="BP5"/>
  <c r="BN32"/>
  <c r="BL6"/>
  <c r="BL7"/>
  <c r="BL8"/>
  <c r="BL9"/>
  <c r="BL10"/>
  <c r="BL11"/>
  <c r="BL12"/>
  <c r="BL13"/>
  <c r="BL14"/>
  <c r="BL15"/>
  <c r="BL16"/>
  <c r="BL17"/>
  <c r="BL18"/>
  <c r="BL19"/>
  <c r="BL20"/>
  <c r="BL21"/>
  <c r="BL22"/>
  <c r="BL23"/>
  <c r="BL24"/>
  <c r="BL25"/>
  <c r="BL5"/>
  <c r="BJ31"/>
  <c r="BE6"/>
  <c r="BE7"/>
  <c r="BE8"/>
  <c r="BE9"/>
  <c r="BE10"/>
  <c r="BE11"/>
  <c r="BE12"/>
  <c r="BE13"/>
  <c r="BE14"/>
  <c r="BE15"/>
  <c r="BE16"/>
  <c r="BE17"/>
  <c r="BE18"/>
  <c r="BE19"/>
  <c r="BE20"/>
  <c r="BE21"/>
  <c r="BE22"/>
  <c r="BE23"/>
  <c r="BE24"/>
  <c r="BE25"/>
  <c r="BE5"/>
  <c r="BA10"/>
  <c r="BA11"/>
  <c r="BA12"/>
  <c r="BA13"/>
  <c r="BA14"/>
  <c r="BA15"/>
  <c r="BA16"/>
  <c r="BA17"/>
  <c r="BA18"/>
  <c r="BA19"/>
  <c r="BA20"/>
  <c r="BA21"/>
  <c r="BA22"/>
  <c r="BA23"/>
  <c r="BA24"/>
  <c r="BA25"/>
  <c r="BA6"/>
  <c r="BA7"/>
  <c r="BA8"/>
  <c r="BA9"/>
  <c r="BA5"/>
  <c r="BL31" l="1"/>
  <c r="BT31" s="1"/>
  <c r="BP32"/>
  <c r="BT32" s="1"/>
  <c r="BT63"/>
  <c r="BT60"/>
  <c r="BH10" l="1"/>
  <c r="BH11"/>
  <c r="BH15"/>
  <c r="AQ6"/>
  <c r="AQ7"/>
  <c r="AQ8"/>
  <c r="AQ9"/>
  <c r="AQ10"/>
  <c r="AQ11"/>
  <c r="AQ12"/>
  <c r="AQ13"/>
  <c r="AQ14"/>
  <c r="AQ15"/>
  <c r="AQ16"/>
  <c r="AQ17"/>
  <c r="AQ18"/>
  <c r="AQ19"/>
  <c r="AQ20"/>
  <c r="AQ21"/>
  <c r="AQ22"/>
  <c r="AQ23"/>
  <c r="AQ24"/>
  <c r="AQ25"/>
  <c r="AQ5"/>
  <c r="BF25"/>
  <c r="BH25" s="1"/>
  <c r="AU25"/>
  <c r="AW25" s="1"/>
  <c r="BF24"/>
  <c r="BH24" s="1"/>
  <c r="AU24"/>
  <c r="AW24" s="1"/>
  <c r="BF23"/>
  <c r="BH23" s="1"/>
  <c r="AU23"/>
  <c r="AW23" s="1"/>
  <c r="BF22"/>
  <c r="BH22" s="1"/>
  <c r="AU22"/>
  <c r="AW22" s="1"/>
  <c r="BF21"/>
  <c r="BH21" s="1"/>
  <c r="AU21"/>
  <c r="AW21" s="1"/>
  <c r="BF20"/>
  <c r="BH20" s="1"/>
  <c r="AU20"/>
  <c r="AW20" s="1"/>
  <c r="BF19"/>
  <c r="BH19" s="1"/>
  <c r="AU19"/>
  <c r="AW19" s="1"/>
  <c r="BF18"/>
  <c r="BH18" s="1"/>
  <c r="AU18"/>
  <c r="AW18" s="1"/>
  <c r="BF17"/>
  <c r="BH17" s="1"/>
  <c r="AU17"/>
  <c r="AW17" s="1"/>
  <c r="BF16"/>
  <c r="BH16" s="1"/>
  <c r="AU16"/>
  <c r="AW16" s="1"/>
  <c r="AU15"/>
  <c r="AW15" s="1"/>
  <c r="BF14"/>
  <c r="BH14" s="1"/>
  <c r="AU14"/>
  <c r="AW14" s="1"/>
  <c r="BF13"/>
  <c r="BH13" s="1"/>
  <c r="AU13"/>
  <c r="AW13" s="1"/>
  <c r="BF12"/>
  <c r="BH12" s="1"/>
  <c r="AU12"/>
  <c r="AW12" s="1"/>
  <c r="AU11"/>
  <c r="AW11" s="1"/>
  <c r="AU10"/>
  <c r="AW10" s="1"/>
  <c r="BF9"/>
  <c r="BH9" s="1"/>
  <c r="AU9"/>
  <c r="AW9" s="1"/>
  <c r="BF8"/>
  <c r="BH8" s="1"/>
  <c r="AU8"/>
  <c r="AW8" s="1"/>
  <c r="BF7"/>
  <c r="BH7" s="1"/>
  <c r="AU7"/>
  <c r="AW7" s="1"/>
  <c r="BF6"/>
  <c r="BH6" s="1"/>
  <c r="AU6"/>
  <c r="AW6" s="1"/>
  <c r="BF5"/>
  <c r="BH5" s="1"/>
  <c r="AU5"/>
  <c r="AW5" s="1"/>
  <c r="BT62"/>
  <c r="BT56"/>
  <c r="AQ35" l="1"/>
  <c r="BT35" s="1"/>
  <c r="BH37"/>
  <c r="BT37" s="1"/>
  <c r="AW36"/>
  <c r="BT91"/>
  <c r="BT41"/>
  <c r="BT43" s="1"/>
  <c r="BT58"/>
  <c r="AO6" i="28"/>
  <c r="AR6" s="1"/>
  <c r="AO7"/>
  <c r="AR7" s="1"/>
  <c r="AO8"/>
  <c r="AR8" s="1"/>
  <c r="AO9"/>
  <c r="AR9" s="1"/>
  <c r="AO10"/>
  <c r="AR10" s="1"/>
  <c r="AO11"/>
  <c r="AR11" s="1"/>
  <c r="AO12"/>
  <c r="AR12" s="1"/>
  <c r="AO13"/>
  <c r="AR13" s="1"/>
  <c r="AO14"/>
  <c r="AR14" s="1"/>
  <c r="AO15"/>
  <c r="AR15" s="1"/>
  <c r="AO16"/>
  <c r="AR16" s="1"/>
  <c r="AO17"/>
  <c r="AR17" s="1"/>
  <c r="AO18"/>
  <c r="AR18" s="1"/>
  <c r="AO19"/>
  <c r="AR19" s="1"/>
  <c r="AO20"/>
  <c r="AR20" s="1"/>
  <c r="AO21"/>
  <c r="AR21" s="1"/>
  <c r="AO22"/>
  <c r="AR22" s="1"/>
  <c r="AO23"/>
  <c r="AR23" s="1"/>
  <c r="AO24"/>
  <c r="AR24" s="1"/>
  <c r="AO25"/>
  <c r="AR25" s="1"/>
  <c r="AO5"/>
  <c r="AR5" s="1"/>
  <c r="AR67"/>
  <c r="AR66"/>
  <c r="AR64"/>
  <c r="AR48"/>
  <c r="AR47"/>
  <c r="AR45"/>
  <c r="AR41"/>
  <c r="AO55"/>
  <c r="AO57" s="1"/>
  <c r="AR32"/>
  <c r="AR34"/>
  <c r="AK27"/>
  <c r="AF27"/>
  <c r="AA27"/>
  <c r="V27"/>
  <c r="Q27"/>
  <c r="L27"/>
  <c r="G27"/>
  <c r="V8"/>
  <c r="V9"/>
  <c r="V10"/>
  <c r="V11"/>
  <c r="V12"/>
  <c r="V13"/>
  <c r="V14"/>
  <c r="V15"/>
  <c r="V16"/>
  <c r="V17"/>
  <c r="V18"/>
  <c r="V19"/>
  <c r="V20"/>
  <c r="V21"/>
  <c r="V22"/>
  <c r="V23"/>
  <c r="V24"/>
  <c r="V25"/>
  <c r="AA7"/>
  <c r="AA8"/>
  <c r="AA9"/>
  <c r="AA10"/>
  <c r="AA11"/>
  <c r="AA12"/>
  <c r="AA13"/>
  <c r="AA14"/>
  <c r="AA15"/>
  <c r="AA16"/>
  <c r="AA17"/>
  <c r="AA18"/>
  <c r="AA19"/>
  <c r="AA20"/>
  <c r="AA21"/>
  <c r="AA22"/>
  <c r="AA23"/>
  <c r="AA24"/>
  <c r="AA25"/>
  <c r="V7"/>
  <c r="G7"/>
  <c r="G8"/>
  <c r="AK6"/>
  <c r="AK7"/>
  <c r="AK8"/>
  <c r="AK9"/>
  <c r="AK10"/>
  <c r="AK11"/>
  <c r="AK12"/>
  <c r="AK13"/>
  <c r="AK14"/>
  <c r="AK15"/>
  <c r="AK16"/>
  <c r="AK17"/>
  <c r="AK18"/>
  <c r="AK19"/>
  <c r="AK20"/>
  <c r="AK21"/>
  <c r="AK22"/>
  <c r="AK23"/>
  <c r="AK24"/>
  <c r="AK25"/>
  <c r="AF6"/>
  <c r="AF7"/>
  <c r="AF8"/>
  <c r="AF9"/>
  <c r="AF10"/>
  <c r="AF11"/>
  <c r="AF12"/>
  <c r="AF13"/>
  <c r="AF14"/>
  <c r="AF15"/>
  <c r="AF16"/>
  <c r="AF17"/>
  <c r="AF18"/>
  <c r="AF19"/>
  <c r="AF20"/>
  <c r="AF21"/>
  <c r="AF22"/>
  <c r="AF23"/>
  <c r="AF24"/>
  <c r="AF25"/>
  <c r="AA6"/>
  <c r="V6"/>
  <c r="Q6"/>
  <c r="Q7"/>
  <c r="Q8"/>
  <c r="Q9"/>
  <c r="Q10"/>
  <c r="Q11"/>
  <c r="Q12"/>
  <c r="Q13"/>
  <c r="Q14"/>
  <c r="Q15"/>
  <c r="Q16"/>
  <c r="Q17"/>
  <c r="Q18"/>
  <c r="Q19"/>
  <c r="Q20"/>
  <c r="Q21"/>
  <c r="Q22"/>
  <c r="Q23"/>
  <c r="Q24"/>
  <c r="Q25"/>
  <c r="L6"/>
  <c r="L7"/>
  <c r="L8"/>
  <c r="L9"/>
  <c r="L10"/>
  <c r="L11"/>
  <c r="L12"/>
  <c r="L13"/>
  <c r="L14"/>
  <c r="L15"/>
  <c r="L16"/>
  <c r="L17"/>
  <c r="L18"/>
  <c r="L19"/>
  <c r="L20"/>
  <c r="L21"/>
  <c r="L22"/>
  <c r="L23"/>
  <c r="L24"/>
  <c r="L25"/>
  <c r="G6"/>
  <c r="AM6"/>
  <c r="AM5"/>
  <c r="AP55"/>
  <c r="AP57" s="1"/>
  <c r="AR53"/>
  <c r="AR52"/>
  <c r="G9"/>
  <c r="AM8"/>
  <c r="AP56"/>
  <c r="AP58" s="1"/>
  <c r="AO56"/>
  <c r="AO58" s="1"/>
  <c r="AM7"/>
  <c r="BT67" i="22"/>
  <c r="BT50"/>
  <c r="BT75"/>
  <c r="C6" i="27"/>
  <c r="D6"/>
  <c r="E6"/>
  <c r="F6"/>
  <c r="G6"/>
  <c r="H6"/>
  <c r="I6"/>
  <c r="J6"/>
  <c r="K6"/>
  <c r="L6"/>
  <c r="M6"/>
  <c r="N6"/>
  <c r="O6"/>
  <c r="P6"/>
  <c r="Q6"/>
  <c r="R6"/>
  <c r="S6"/>
  <c r="T6"/>
  <c r="U6"/>
  <c r="V6"/>
  <c r="W6"/>
  <c r="X6"/>
  <c r="Y6"/>
  <c r="Z6"/>
  <c r="AA6"/>
  <c r="AB6"/>
  <c r="AC6"/>
  <c r="AD6"/>
  <c r="AE6"/>
  <c r="AF6"/>
  <c r="AG6"/>
  <c r="AH6"/>
  <c r="A8"/>
  <c r="A9"/>
  <c r="A10"/>
  <c r="A11"/>
  <c r="A12"/>
  <c r="A13"/>
  <c r="A14"/>
  <c r="A15"/>
  <c r="A16"/>
  <c r="A17"/>
  <c r="A18"/>
  <c r="A19"/>
  <c r="A20"/>
  <c r="A21"/>
  <c r="A22"/>
  <c r="A23"/>
  <c r="A24"/>
  <c r="A25"/>
  <c r="A26"/>
  <c r="B2" i="1"/>
  <c r="B7"/>
  <c r="A8"/>
  <c r="A9"/>
  <c r="B8"/>
  <c r="C6" i="13"/>
  <c r="D6"/>
  <c r="A9"/>
  <c r="A10"/>
  <c r="A11"/>
  <c r="A12"/>
  <c r="A13"/>
  <c r="A14"/>
  <c r="A15"/>
  <c r="A16"/>
  <c r="A17"/>
  <c r="A18"/>
  <c r="A19"/>
  <c r="A20"/>
  <c r="A21"/>
  <c r="A22"/>
  <c r="A23"/>
  <c r="A24"/>
  <c r="A25"/>
  <c r="A26"/>
  <c r="A27"/>
  <c r="A28"/>
  <c r="A29"/>
  <c r="A30"/>
  <c r="A31"/>
  <c r="A32"/>
  <c r="A33"/>
  <c r="A44"/>
  <c r="G44"/>
  <c r="M44"/>
  <c r="M45"/>
  <c r="M46"/>
  <c r="M47"/>
  <c r="M48"/>
  <c r="M49"/>
  <c r="M50"/>
  <c r="M51"/>
  <c r="A45"/>
  <c r="G45"/>
  <c r="A46"/>
  <c r="A47"/>
  <c r="A48"/>
  <c r="G46"/>
  <c r="G47"/>
  <c r="G48"/>
  <c r="G49"/>
  <c r="G50"/>
  <c r="G51"/>
  <c r="G52"/>
  <c r="G53"/>
  <c r="A49"/>
  <c r="A50"/>
  <c r="A51"/>
  <c r="A52"/>
  <c r="A53"/>
  <c r="C6" i="2"/>
  <c r="D6"/>
  <c r="A9"/>
  <c r="A10"/>
  <c r="A11"/>
  <c r="A12"/>
  <c r="A13"/>
  <c r="A14"/>
  <c r="A15"/>
  <c r="A16"/>
  <c r="A17"/>
  <c r="A18"/>
  <c r="A19"/>
  <c r="A20"/>
  <c r="A21"/>
  <c r="A22"/>
  <c r="A23"/>
  <c r="A24"/>
  <c r="A25"/>
  <c r="A26"/>
  <c r="A27"/>
  <c r="A28"/>
  <c r="A29"/>
  <c r="A30"/>
  <c r="A31"/>
  <c r="A32"/>
  <c r="A33"/>
  <c r="A44"/>
  <c r="A45"/>
  <c r="A46"/>
  <c r="A47"/>
  <c r="A48"/>
  <c r="A49"/>
  <c r="A50"/>
  <c r="A51"/>
  <c r="A52"/>
  <c r="A53"/>
  <c r="G44"/>
  <c r="G45"/>
  <c r="G46"/>
  <c r="G47"/>
  <c r="G48"/>
  <c r="G49"/>
  <c r="G50"/>
  <c r="G51"/>
  <c r="G52"/>
  <c r="G53"/>
  <c r="M44"/>
  <c r="M45"/>
  <c r="M46"/>
  <c r="M47"/>
  <c r="M48"/>
  <c r="M49"/>
  <c r="M50"/>
  <c r="M51"/>
  <c r="C6" i="10"/>
  <c r="D6"/>
  <c r="E6"/>
  <c r="A9"/>
  <c r="A10"/>
  <c r="A11"/>
  <c r="A12"/>
  <c r="A13"/>
  <c r="A14"/>
  <c r="A15"/>
  <c r="A16"/>
  <c r="A17"/>
  <c r="A18"/>
  <c r="A19"/>
  <c r="A20"/>
  <c r="A21"/>
  <c r="A22"/>
  <c r="A23"/>
  <c r="A24"/>
  <c r="A25"/>
  <c r="A26"/>
  <c r="A27"/>
  <c r="A28"/>
  <c r="A29"/>
  <c r="A30"/>
  <c r="A31"/>
  <c r="A32"/>
  <c r="A33"/>
  <c r="A44"/>
  <c r="A45"/>
  <c r="A46"/>
  <c r="A47"/>
  <c r="A48"/>
  <c r="A49"/>
  <c r="A50"/>
  <c r="A51"/>
  <c r="A52"/>
  <c r="A53"/>
  <c r="G44"/>
  <c r="M44"/>
  <c r="G45"/>
  <c r="G46"/>
  <c r="G47"/>
  <c r="G48"/>
  <c r="G49"/>
  <c r="G50"/>
  <c r="G51"/>
  <c r="G52"/>
  <c r="G53"/>
  <c r="M45"/>
  <c r="M46"/>
  <c r="M47"/>
  <c r="M48"/>
  <c r="M49"/>
  <c r="M50"/>
  <c r="M51"/>
  <c r="B3" i="21"/>
  <c r="B4" s="1"/>
  <c r="B5"/>
  <c r="B10"/>
  <c r="B11"/>
  <c r="A23" i="20"/>
  <c r="E23"/>
  <c r="I23"/>
  <c r="A24"/>
  <c r="A25"/>
  <c r="A26"/>
  <c r="A27"/>
  <c r="A28"/>
  <c r="A29"/>
  <c r="A30"/>
  <c r="A31"/>
  <c r="A32"/>
  <c r="A33"/>
  <c r="A34"/>
  <c r="A35"/>
  <c r="A36"/>
  <c r="A37"/>
  <c r="E24"/>
  <c r="I24"/>
  <c r="E25"/>
  <c r="E26"/>
  <c r="E27"/>
  <c r="E28"/>
  <c r="E29"/>
  <c r="E30"/>
  <c r="E31"/>
  <c r="E32"/>
  <c r="E33"/>
  <c r="E34"/>
  <c r="E35"/>
  <c r="E36"/>
  <c r="E37"/>
  <c r="I25"/>
  <c r="I26"/>
  <c r="I27"/>
  <c r="I28"/>
  <c r="I29"/>
  <c r="I30"/>
  <c r="I31"/>
  <c r="I32"/>
  <c r="I33"/>
  <c r="I34"/>
  <c r="I35"/>
  <c r="I36"/>
  <c r="I37"/>
  <c r="F83"/>
  <c r="F84"/>
  <c r="F85"/>
  <c r="AM5" i="22"/>
  <c r="BR5" s="1"/>
  <c r="G6"/>
  <c r="G7" s="1"/>
  <c r="G8" s="1"/>
  <c r="G9" s="1"/>
  <c r="L6"/>
  <c r="L7" s="1"/>
  <c r="Q6"/>
  <c r="Q7" s="1"/>
  <c r="Q8" s="1"/>
  <c r="Q9" s="1"/>
  <c r="Q10" s="1"/>
  <c r="Q11" s="1"/>
  <c r="Q12" s="1"/>
  <c r="Q13" s="1"/>
  <c r="Q14" s="1"/>
  <c r="Q15" s="1"/>
  <c r="Q16" s="1"/>
  <c r="Q17" s="1"/>
  <c r="Q18" s="1"/>
  <c r="Q19" s="1"/>
  <c r="Q20" s="1"/>
  <c r="Q21" s="1"/>
  <c r="Q22" s="1"/>
  <c r="Q23" s="1"/>
  <c r="Q24" s="1"/>
  <c r="Q25" s="1"/>
  <c r="V6"/>
  <c r="V7" s="1"/>
  <c r="V8" s="1"/>
  <c r="V9" s="1"/>
  <c r="V10" s="1"/>
  <c r="V11" s="1"/>
  <c r="V12" s="1"/>
  <c r="V13" s="1"/>
  <c r="V14" s="1"/>
  <c r="V15" s="1"/>
  <c r="V16" s="1"/>
  <c r="V17" s="1"/>
  <c r="V18" s="1"/>
  <c r="V19" s="1"/>
  <c r="V20" s="1"/>
  <c r="V21" s="1"/>
  <c r="V22" s="1"/>
  <c r="V23" s="1"/>
  <c r="V24" s="1"/>
  <c r="V25" s="1"/>
  <c r="AA6"/>
  <c r="AA7" s="1"/>
  <c r="AA8" s="1"/>
  <c r="AA9" s="1"/>
  <c r="AA10" s="1"/>
  <c r="AA11" s="1"/>
  <c r="AA12" s="1"/>
  <c r="AA13" s="1"/>
  <c r="AA14" s="1"/>
  <c r="AA15" s="1"/>
  <c r="AA16" s="1"/>
  <c r="AA17" s="1"/>
  <c r="AA18" s="1"/>
  <c r="AA19" s="1"/>
  <c r="AA20" s="1"/>
  <c r="AA21" s="1"/>
  <c r="AA22" s="1"/>
  <c r="AA23" s="1"/>
  <c r="AA24" s="1"/>
  <c r="AA25" s="1"/>
  <c r="AF6"/>
  <c r="AF7" s="1"/>
  <c r="AF8" s="1"/>
  <c r="AF9" s="1"/>
  <c r="AF10" s="1"/>
  <c r="AF11" s="1"/>
  <c r="AF12" s="1"/>
  <c r="AF13" s="1"/>
  <c r="AF14" s="1"/>
  <c r="AF15" s="1"/>
  <c r="AF16" s="1"/>
  <c r="AF17" s="1"/>
  <c r="AF18" s="1"/>
  <c r="AF19" s="1"/>
  <c r="AF20" s="1"/>
  <c r="AF21" s="1"/>
  <c r="AF22" s="1"/>
  <c r="AF23" s="1"/>
  <c r="AF24" s="1"/>
  <c r="AF25" s="1"/>
  <c r="AK6"/>
  <c r="AK7" s="1"/>
  <c r="AK8" s="1"/>
  <c r="AK9" s="1"/>
  <c r="AK10" s="1"/>
  <c r="AK11" s="1"/>
  <c r="AK12" s="1"/>
  <c r="AK13" s="1"/>
  <c r="AK14" s="1"/>
  <c r="AK15" s="1"/>
  <c r="AK16" s="1"/>
  <c r="AK17" s="1"/>
  <c r="AK18" s="1"/>
  <c r="AK19" s="1"/>
  <c r="AK20" s="1"/>
  <c r="AK21" s="1"/>
  <c r="AK22" s="1"/>
  <c r="AK23" s="1"/>
  <c r="AK24" s="1"/>
  <c r="AK25" s="1"/>
  <c r="G27"/>
  <c r="L27"/>
  <c r="Q27"/>
  <c r="V27"/>
  <c r="AA27"/>
  <c r="AF27"/>
  <c r="AK27"/>
  <c r="BT26"/>
  <c r="F56" i="20"/>
  <c r="F68" s="1"/>
  <c r="BT89" i="22"/>
  <c r="B7" i="21"/>
  <c r="B8" s="1"/>
  <c r="BT92" i="22"/>
  <c r="BT76"/>
  <c r="A27" i="27"/>
  <c r="A28"/>
  <c r="A29"/>
  <c r="A30"/>
  <c r="A31"/>
  <c r="A32"/>
  <c r="A33"/>
  <c r="A34"/>
  <c r="A35"/>
  <c r="A36"/>
  <c r="A37"/>
  <c r="A38"/>
  <c r="A39"/>
  <c r="A40"/>
  <c r="A41"/>
  <c r="A42"/>
  <c r="A43"/>
  <c r="A44"/>
  <c r="A45"/>
  <c r="A46"/>
  <c r="A47"/>
  <c r="AI6"/>
  <c r="AJ6"/>
  <c r="AK6"/>
  <c r="AL6"/>
  <c r="AM6"/>
  <c r="AN6"/>
  <c r="AO6"/>
  <c r="AP6"/>
  <c r="AQ6"/>
  <c r="AR6"/>
  <c r="AS6"/>
  <c r="AT6"/>
  <c r="AU6"/>
  <c r="AV6"/>
  <c r="AW6"/>
  <c r="AX6"/>
  <c r="AY6"/>
  <c r="AZ6"/>
  <c r="BA6"/>
  <c r="BB6"/>
  <c r="BC6"/>
  <c r="BD6"/>
  <c r="BE6"/>
  <c r="BF6"/>
  <c r="BG6"/>
  <c r="BH6"/>
  <c r="BI6"/>
  <c r="BJ6"/>
  <c r="BK6"/>
  <c r="BL6"/>
  <c r="BM6"/>
  <c r="BN6"/>
  <c r="BO6"/>
  <c r="E38" i="20"/>
  <c r="E39"/>
  <c r="E40"/>
  <c r="E41"/>
  <c r="E42"/>
  <c r="A38"/>
  <c r="A39"/>
  <c r="A40"/>
  <c r="A41"/>
  <c r="A42"/>
  <c r="I38"/>
  <c r="I39"/>
  <c r="I40"/>
  <c r="I41"/>
  <c r="I42"/>
  <c r="F6" i="10"/>
  <c r="E6" i="13"/>
  <c r="B9" i="1"/>
  <c r="A10"/>
  <c r="E6" i="2"/>
  <c r="A43" i="20"/>
  <c r="A44"/>
  <c r="A45"/>
  <c r="A46"/>
  <c r="A47"/>
  <c r="A48"/>
  <c r="A49"/>
  <c r="A50"/>
  <c r="A51"/>
  <c r="A52"/>
  <c r="E43"/>
  <c r="E44"/>
  <c r="E45"/>
  <c r="E46"/>
  <c r="E47"/>
  <c r="E48"/>
  <c r="E49"/>
  <c r="E50"/>
  <c r="E51"/>
  <c r="E52"/>
  <c r="A11" i="1"/>
  <c r="B10"/>
  <c r="F6" i="2"/>
  <c r="F6" i="13"/>
  <c r="G6" i="10"/>
  <c r="I43" i="20"/>
  <c r="I44"/>
  <c r="I45"/>
  <c r="I46"/>
  <c r="I47"/>
  <c r="I48"/>
  <c r="I49"/>
  <c r="I50"/>
  <c r="I51"/>
  <c r="I52"/>
  <c r="H6" i="10"/>
  <c r="B11" i="1"/>
  <c r="A12"/>
  <c r="G6" i="13"/>
  <c r="G6" i="2"/>
  <c r="I6" i="10"/>
  <c r="H6" i="2"/>
  <c r="H6" i="13"/>
  <c r="A13" i="1"/>
  <c r="B12"/>
  <c r="I6" i="13"/>
  <c r="J6" i="10"/>
  <c r="I6" i="2"/>
  <c r="B13" i="1"/>
  <c r="A14"/>
  <c r="K6" i="10"/>
  <c r="J6" i="13"/>
  <c r="J6" i="2"/>
  <c r="A15" i="1"/>
  <c r="B14"/>
  <c r="K6" i="2"/>
  <c r="K6" i="13"/>
  <c r="B15" i="1"/>
  <c r="A16"/>
  <c r="L6" i="10"/>
  <c r="K13"/>
  <c r="K15"/>
  <c r="K20"/>
  <c r="K28"/>
  <c r="K14"/>
  <c r="K23"/>
  <c r="K25"/>
  <c r="K31"/>
  <c r="A17" i="1"/>
  <c r="B16"/>
  <c r="L6" i="2"/>
  <c r="K10"/>
  <c r="K12"/>
  <c r="K9"/>
  <c r="K13"/>
  <c r="K16"/>
  <c r="K20"/>
  <c r="K22"/>
  <c r="K24"/>
  <c r="K28"/>
  <c r="K30"/>
  <c r="K32"/>
  <c r="K15"/>
  <c r="K17"/>
  <c r="K19"/>
  <c r="K23"/>
  <c r="K25"/>
  <c r="K27"/>
  <c r="K31"/>
  <c r="K33"/>
  <c r="K33" i="10"/>
  <c r="K16"/>
  <c r="K30"/>
  <c r="K22"/>
  <c r="K17"/>
  <c r="K9"/>
  <c r="K27"/>
  <c r="K19"/>
  <c r="K32"/>
  <c r="K24"/>
  <c r="K10"/>
  <c r="K11"/>
  <c r="K29"/>
  <c r="K21"/>
  <c r="K12"/>
  <c r="K26"/>
  <c r="K18"/>
  <c r="M6"/>
  <c r="D13"/>
  <c r="C13"/>
  <c r="C15"/>
  <c r="C17"/>
  <c r="C10"/>
  <c r="E13"/>
  <c r="C14"/>
  <c r="D15"/>
  <c r="D16"/>
  <c r="E17"/>
  <c r="D18"/>
  <c r="D20"/>
  <c r="D22"/>
  <c r="D24"/>
  <c r="D26"/>
  <c r="D28"/>
  <c r="D30"/>
  <c r="D32"/>
  <c r="D12"/>
  <c r="C16"/>
  <c r="D17"/>
  <c r="C18"/>
  <c r="E19"/>
  <c r="C20"/>
  <c r="E21"/>
  <c r="C22"/>
  <c r="E23"/>
  <c r="C24"/>
  <c r="E25"/>
  <c r="C26"/>
  <c r="E27"/>
  <c r="C28"/>
  <c r="E29"/>
  <c r="C30"/>
  <c r="E31"/>
  <c r="C32"/>
  <c r="E33"/>
  <c r="E11"/>
  <c r="C12"/>
  <c r="D19"/>
  <c r="D21"/>
  <c r="D23"/>
  <c r="D25"/>
  <c r="D27"/>
  <c r="D29"/>
  <c r="D31"/>
  <c r="D33"/>
  <c r="D10"/>
  <c r="D14"/>
  <c r="C19"/>
  <c r="E20"/>
  <c r="C21"/>
  <c r="E22"/>
  <c r="C23"/>
  <c r="E24"/>
  <c r="C25"/>
  <c r="E26"/>
  <c r="C27"/>
  <c r="E28"/>
  <c r="C29"/>
  <c r="E30"/>
  <c r="C31"/>
  <c r="E32"/>
  <c r="C33"/>
  <c r="E18"/>
  <c r="E16"/>
  <c r="D9"/>
  <c r="D11"/>
  <c r="E15"/>
  <c r="E9"/>
  <c r="E14"/>
  <c r="C9"/>
  <c r="E12"/>
  <c r="E10"/>
  <c r="C11"/>
  <c r="F19"/>
  <c r="F12"/>
  <c r="F25"/>
  <c r="F33"/>
  <c r="F18"/>
  <c r="F26"/>
  <c r="F13"/>
  <c r="F27"/>
  <c r="F20"/>
  <c r="F16"/>
  <c r="F10"/>
  <c r="F23"/>
  <c r="F31"/>
  <c r="F15"/>
  <c r="F24"/>
  <c r="F32"/>
  <c r="F21"/>
  <c r="F29"/>
  <c r="F14"/>
  <c r="F22"/>
  <c r="F30"/>
  <c r="F17"/>
  <c r="F9"/>
  <c r="F11"/>
  <c r="F28"/>
  <c r="G13"/>
  <c r="G14"/>
  <c r="G24"/>
  <c r="G32"/>
  <c r="G21"/>
  <c r="G29"/>
  <c r="G11"/>
  <c r="G12"/>
  <c r="G22"/>
  <c r="G30"/>
  <c r="G19"/>
  <c r="G27"/>
  <c r="G9"/>
  <c r="G17"/>
  <c r="G20"/>
  <c r="G28"/>
  <c r="G16"/>
  <c r="G25"/>
  <c r="G33"/>
  <c r="G15"/>
  <c r="G18"/>
  <c r="G26"/>
  <c r="G10"/>
  <c r="G23"/>
  <c r="G31"/>
  <c r="H13"/>
  <c r="H22"/>
  <c r="H30"/>
  <c r="H16"/>
  <c r="H23"/>
  <c r="H31"/>
  <c r="H11"/>
  <c r="H20"/>
  <c r="H28"/>
  <c r="H15"/>
  <c r="H21"/>
  <c r="H29"/>
  <c r="H9"/>
  <c r="H18"/>
  <c r="H26"/>
  <c r="H10"/>
  <c r="H19"/>
  <c r="H27"/>
  <c r="H12"/>
  <c r="H14"/>
  <c r="H24"/>
  <c r="H32"/>
  <c r="H17"/>
  <c r="H25"/>
  <c r="H33"/>
  <c r="I12"/>
  <c r="I15"/>
  <c r="I23"/>
  <c r="I31"/>
  <c r="I20"/>
  <c r="I28"/>
  <c r="I10"/>
  <c r="I21"/>
  <c r="I18"/>
  <c r="I11"/>
  <c r="I29"/>
  <c r="I26"/>
  <c r="I16"/>
  <c r="I19"/>
  <c r="I27"/>
  <c r="I13"/>
  <c r="I24"/>
  <c r="I32"/>
  <c r="I22"/>
  <c r="I9"/>
  <c r="I14"/>
  <c r="I17"/>
  <c r="I25"/>
  <c r="I33"/>
  <c r="I30"/>
  <c r="J26"/>
  <c r="J10"/>
  <c r="J19"/>
  <c r="J27"/>
  <c r="J24"/>
  <c r="J32"/>
  <c r="J17"/>
  <c r="J25"/>
  <c r="J33"/>
  <c r="J22"/>
  <c r="J30"/>
  <c r="J15"/>
  <c r="J9"/>
  <c r="J16"/>
  <c r="J23"/>
  <c r="J31"/>
  <c r="J20"/>
  <c r="J28"/>
  <c r="J14"/>
  <c r="J12"/>
  <c r="J21"/>
  <c r="J29"/>
  <c r="J18"/>
  <c r="J11"/>
  <c r="J13"/>
  <c r="L6" i="13"/>
  <c r="K10"/>
  <c r="K16"/>
  <c r="K18"/>
  <c r="K24"/>
  <c r="K26"/>
  <c r="K32"/>
  <c r="K9"/>
  <c r="K15"/>
  <c r="K17"/>
  <c r="K27"/>
  <c r="K31"/>
  <c r="K29"/>
  <c r="K33"/>
  <c r="C10"/>
  <c r="C12"/>
  <c r="C14"/>
  <c r="C16"/>
  <c r="C18"/>
  <c r="C20"/>
  <c r="C22"/>
  <c r="C24"/>
  <c r="C26"/>
  <c r="C28"/>
  <c r="C30"/>
  <c r="C32"/>
  <c r="C9"/>
  <c r="C11"/>
  <c r="C13"/>
  <c r="C15"/>
  <c r="C17"/>
  <c r="C19"/>
  <c r="M6"/>
  <c r="C21"/>
  <c r="D24"/>
  <c r="D28"/>
  <c r="D32"/>
  <c r="C27"/>
  <c r="C31"/>
  <c r="D26"/>
  <c r="D30"/>
  <c r="C23"/>
  <c r="C25"/>
  <c r="C29"/>
  <c r="C33"/>
  <c r="D13"/>
  <c r="D21"/>
  <c r="D29"/>
  <c r="D10"/>
  <c r="D18"/>
  <c r="D11"/>
  <c r="D27"/>
  <c r="D22"/>
  <c r="D19"/>
  <c r="D16"/>
  <c r="D9"/>
  <c r="D17"/>
  <c r="D25"/>
  <c r="D33"/>
  <c r="D14"/>
  <c r="D15"/>
  <c r="D23"/>
  <c r="D31"/>
  <c r="D12"/>
  <c r="D20"/>
  <c r="E21"/>
  <c r="E11"/>
  <c r="E19"/>
  <c r="E27"/>
  <c r="E16"/>
  <c r="E26"/>
  <c r="E32"/>
  <c r="E13"/>
  <c r="E10"/>
  <c r="E18"/>
  <c r="E30"/>
  <c r="E9"/>
  <c r="E17"/>
  <c r="E25"/>
  <c r="E33"/>
  <c r="E14"/>
  <c r="E22"/>
  <c r="E28"/>
  <c r="E15"/>
  <c r="E23"/>
  <c r="E31"/>
  <c r="E12"/>
  <c r="E20"/>
  <c r="E24"/>
  <c r="E29"/>
  <c r="F16"/>
  <c r="F24"/>
  <c r="F32"/>
  <c r="F15"/>
  <c r="F23"/>
  <c r="F29"/>
  <c r="F14"/>
  <c r="F22"/>
  <c r="F30"/>
  <c r="F13"/>
  <c r="F21"/>
  <c r="F25"/>
  <c r="F12"/>
  <c r="F20"/>
  <c r="F28"/>
  <c r="F11"/>
  <c r="F19"/>
  <c r="F31"/>
  <c r="F10"/>
  <c r="F18"/>
  <c r="F26"/>
  <c r="F9"/>
  <c r="F17"/>
  <c r="F27"/>
  <c r="F33"/>
  <c r="G14"/>
  <c r="G22"/>
  <c r="G30"/>
  <c r="G13"/>
  <c r="G25"/>
  <c r="G21"/>
  <c r="G12"/>
  <c r="G20"/>
  <c r="G28"/>
  <c r="G19"/>
  <c r="G23"/>
  <c r="G11"/>
  <c r="G10"/>
  <c r="G18"/>
  <c r="G26"/>
  <c r="G9"/>
  <c r="G17"/>
  <c r="G33"/>
  <c r="G31"/>
  <c r="G32"/>
  <c r="G29"/>
  <c r="G16"/>
  <c r="G24"/>
  <c r="G15"/>
  <c r="G27"/>
  <c r="H15"/>
  <c r="H23"/>
  <c r="H31"/>
  <c r="H12"/>
  <c r="H20"/>
  <c r="H24"/>
  <c r="H13"/>
  <c r="H21"/>
  <c r="H29"/>
  <c r="H10"/>
  <c r="H18"/>
  <c r="H30"/>
  <c r="H11"/>
  <c r="H19"/>
  <c r="H27"/>
  <c r="H16"/>
  <c r="H26"/>
  <c r="H32"/>
  <c r="H9"/>
  <c r="H17"/>
  <c r="H25"/>
  <c r="H33"/>
  <c r="H14"/>
  <c r="H22"/>
  <c r="H28"/>
  <c r="I17"/>
  <c r="I33"/>
  <c r="I26"/>
  <c r="I15"/>
  <c r="I23"/>
  <c r="I31"/>
  <c r="I12"/>
  <c r="I20"/>
  <c r="I32"/>
  <c r="I9"/>
  <c r="I25"/>
  <c r="I14"/>
  <c r="I13"/>
  <c r="I21"/>
  <c r="I29"/>
  <c r="I10"/>
  <c r="I18"/>
  <c r="I28"/>
  <c r="I11"/>
  <c r="I19"/>
  <c r="I27"/>
  <c r="I16"/>
  <c r="I24"/>
  <c r="I30"/>
  <c r="I22"/>
  <c r="J10"/>
  <c r="J32"/>
  <c r="J15"/>
  <c r="J23"/>
  <c r="J14"/>
  <c r="J22"/>
  <c r="J30"/>
  <c r="J13"/>
  <c r="J21"/>
  <c r="J33"/>
  <c r="J16"/>
  <c r="J12"/>
  <c r="J20"/>
  <c r="J28"/>
  <c r="J11"/>
  <c r="J19"/>
  <c r="J29"/>
  <c r="J18"/>
  <c r="J26"/>
  <c r="J9"/>
  <c r="J17"/>
  <c r="J25"/>
  <c r="J31"/>
  <c r="J24"/>
  <c r="J27"/>
  <c r="C10" i="2"/>
  <c r="C12"/>
  <c r="C14"/>
  <c r="C16"/>
  <c r="M6"/>
  <c r="D10"/>
  <c r="D14"/>
  <c r="D18"/>
  <c r="D20"/>
  <c r="D22"/>
  <c r="D24"/>
  <c r="D26"/>
  <c r="D28"/>
  <c r="D30"/>
  <c r="D32"/>
  <c r="C9"/>
  <c r="C13"/>
  <c r="C18"/>
  <c r="C20"/>
  <c r="C22"/>
  <c r="C24"/>
  <c r="C26"/>
  <c r="C28"/>
  <c r="C30"/>
  <c r="C32"/>
  <c r="D16"/>
  <c r="D17"/>
  <c r="D19"/>
  <c r="D21"/>
  <c r="D23"/>
  <c r="D25"/>
  <c r="D27"/>
  <c r="D29"/>
  <c r="D31"/>
  <c r="D33"/>
  <c r="C11"/>
  <c r="C15"/>
  <c r="C17"/>
  <c r="C19"/>
  <c r="C21"/>
  <c r="C23"/>
  <c r="C25"/>
  <c r="C27"/>
  <c r="C29"/>
  <c r="C31"/>
  <c r="C33"/>
  <c r="D15"/>
  <c r="D13"/>
  <c r="D11"/>
  <c r="D12"/>
  <c r="D9"/>
  <c r="E9"/>
  <c r="E12"/>
  <c r="E21"/>
  <c r="E22"/>
  <c r="E15"/>
  <c r="E19"/>
  <c r="E27"/>
  <c r="E20"/>
  <c r="E28"/>
  <c r="E10"/>
  <c r="E13"/>
  <c r="E17"/>
  <c r="E25"/>
  <c r="E33"/>
  <c r="E18"/>
  <c r="E26"/>
  <c r="E11"/>
  <c r="E16"/>
  <c r="E23"/>
  <c r="E31"/>
  <c r="E14"/>
  <c r="E24"/>
  <c r="E32"/>
  <c r="E29"/>
  <c r="E30"/>
  <c r="F12"/>
  <c r="F13"/>
  <c r="F23"/>
  <c r="F31"/>
  <c r="F18"/>
  <c r="F26"/>
  <c r="F10"/>
  <c r="F9"/>
  <c r="F21"/>
  <c r="F29"/>
  <c r="F15"/>
  <c r="F24"/>
  <c r="F32"/>
  <c r="F16"/>
  <c r="F19"/>
  <c r="F27"/>
  <c r="F11"/>
  <c r="F22"/>
  <c r="F30"/>
  <c r="F14"/>
  <c r="F17"/>
  <c r="F25"/>
  <c r="F33"/>
  <c r="F20"/>
  <c r="F28"/>
  <c r="G10"/>
  <c r="G11"/>
  <c r="G22"/>
  <c r="G30"/>
  <c r="G17"/>
  <c r="G25"/>
  <c r="G33"/>
  <c r="G16"/>
  <c r="G20"/>
  <c r="G28"/>
  <c r="G13"/>
  <c r="G23"/>
  <c r="G31"/>
  <c r="G14"/>
  <c r="G18"/>
  <c r="G26"/>
  <c r="G9"/>
  <c r="G21"/>
  <c r="G29"/>
  <c r="G12"/>
  <c r="G15"/>
  <c r="G24"/>
  <c r="G32"/>
  <c r="G19"/>
  <c r="G27"/>
  <c r="H15"/>
  <c r="H20"/>
  <c r="H28"/>
  <c r="H10"/>
  <c r="H21"/>
  <c r="H29"/>
  <c r="H13"/>
  <c r="H18"/>
  <c r="H26"/>
  <c r="H19"/>
  <c r="H27"/>
  <c r="H11"/>
  <c r="H16"/>
  <c r="H24"/>
  <c r="H32"/>
  <c r="H17"/>
  <c r="H25"/>
  <c r="H33"/>
  <c r="H9"/>
  <c r="H22"/>
  <c r="H14"/>
  <c r="H23"/>
  <c r="H12"/>
  <c r="H30"/>
  <c r="H31"/>
  <c r="I27"/>
  <c r="I25"/>
  <c r="I20"/>
  <c r="I17"/>
  <c r="I28"/>
  <c r="I13"/>
  <c r="I14"/>
  <c r="I23"/>
  <c r="I31"/>
  <c r="I18"/>
  <c r="I26"/>
  <c r="I11"/>
  <c r="I10"/>
  <c r="I21"/>
  <c r="I29"/>
  <c r="I16"/>
  <c r="I24"/>
  <c r="I32"/>
  <c r="I9"/>
  <c r="I19"/>
  <c r="I12"/>
  <c r="I22"/>
  <c r="I30"/>
  <c r="I15"/>
  <c r="I33"/>
  <c r="J12"/>
  <c r="J17"/>
  <c r="J25"/>
  <c r="J33"/>
  <c r="J18"/>
  <c r="J26"/>
  <c r="J10"/>
  <c r="J15"/>
  <c r="J23"/>
  <c r="J31"/>
  <c r="J16"/>
  <c r="J24"/>
  <c r="J32"/>
  <c r="J11"/>
  <c r="J21"/>
  <c r="J29"/>
  <c r="J13"/>
  <c r="J22"/>
  <c r="J30"/>
  <c r="J14"/>
  <c r="J19"/>
  <c r="J27"/>
  <c r="J9"/>
  <c r="J20"/>
  <c r="J28"/>
  <c r="B17" i="1"/>
  <c r="A18"/>
  <c r="K11" i="13"/>
  <c r="K12"/>
  <c r="N6" i="10"/>
  <c r="K21" i="13"/>
  <c r="K19"/>
  <c r="K28"/>
  <c r="K20"/>
  <c r="K25"/>
  <c r="K23"/>
  <c r="K13"/>
  <c r="K30"/>
  <c r="K22"/>
  <c r="K14"/>
  <c r="K29" i="2"/>
  <c r="K21"/>
  <c r="K11"/>
  <c r="K26"/>
  <c r="K18"/>
  <c r="K14"/>
  <c r="O6" i="10"/>
  <c r="A19" i="1"/>
  <c r="B18"/>
  <c r="N6" i="2"/>
  <c r="N6" i="13"/>
  <c r="O6"/>
  <c r="P6" i="10"/>
  <c r="B19" i="1"/>
  <c r="A20"/>
  <c r="O6" i="2"/>
  <c r="P6"/>
  <c r="Q6" i="10"/>
  <c r="P9"/>
  <c r="P11"/>
  <c r="P13"/>
  <c r="P15"/>
  <c r="P17"/>
  <c r="P12"/>
  <c r="P16"/>
  <c r="P18"/>
  <c r="P20"/>
  <c r="P22"/>
  <c r="P24"/>
  <c r="P26"/>
  <c r="P28"/>
  <c r="P30"/>
  <c r="P32"/>
  <c r="P10"/>
  <c r="P14"/>
  <c r="P19"/>
  <c r="P21"/>
  <c r="P23"/>
  <c r="P25"/>
  <c r="P27"/>
  <c r="P29"/>
  <c r="P31"/>
  <c r="P33"/>
  <c r="A21" i="1"/>
  <c r="B20"/>
  <c r="P6" i="13"/>
  <c r="P24"/>
  <c r="P32"/>
  <c r="P15"/>
  <c r="Q6"/>
  <c r="P12"/>
  <c r="P23"/>
  <c r="P29"/>
  <c r="P33"/>
  <c r="P31"/>
  <c r="R6" i="10"/>
  <c r="M32"/>
  <c r="M15"/>
  <c r="M28"/>
  <c r="M21"/>
  <c r="M13"/>
  <c r="M22"/>
  <c r="M30"/>
  <c r="M23"/>
  <c r="M31"/>
  <c r="M17"/>
  <c r="M11"/>
  <c r="M20"/>
  <c r="M29"/>
  <c r="M9"/>
  <c r="M18"/>
  <c r="M26"/>
  <c r="M12"/>
  <c r="M19"/>
  <c r="M27"/>
  <c r="M10"/>
  <c r="M24"/>
  <c r="M16"/>
  <c r="M25"/>
  <c r="M33"/>
  <c r="M14"/>
  <c r="N12"/>
  <c r="N15"/>
  <c r="N25"/>
  <c r="N33"/>
  <c r="N20"/>
  <c r="N10"/>
  <c r="N13"/>
  <c r="N23"/>
  <c r="N31"/>
  <c r="N18"/>
  <c r="N26"/>
  <c r="N16"/>
  <c r="N21"/>
  <c r="N29"/>
  <c r="N17"/>
  <c r="N24"/>
  <c r="N32"/>
  <c r="N9"/>
  <c r="N14"/>
  <c r="N19"/>
  <c r="N27"/>
  <c r="N11"/>
  <c r="N22"/>
  <c r="N30"/>
  <c r="N28"/>
  <c r="O12"/>
  <c r="O29"/>
  <c r="O22"/>
  <c r="O10"/>
  <c r="O19"/>
  <c r="O27"/>
  <c r="O11"/>
  <c r="O20"/>
  <c r="O28"/>
  <c r="O15"/>
  <c r="O25"/>
  <c r="O33"/>
  <c r="O18"/>
  <c r="O26"/>
  <c r="O9"/>
  <c r="O14"/>
  <c r="O23"/>
  <c r="O31"/>
  <c r="O17"/>
  <c r="O24"/>
  <c r="O32"/>
  <c r="O21"/>
  <c r="O16"/>
  <c r="O30"/>
  <c r="O13"/>
  <c r="P10" i="2"/>
  <c r="P12"/>
  <c r="P11"/>
  <c r="P15"/>
  <c r="P16"/>
  <c r="P20"/>
  <c r="P22"/>
  <c r="P24"/>
  <c r="P28"/>
  <c r="P30"/>
  <c r="P32"/>
  <c r="Q6"/>
  <c r="P9"/>
  <c r="P13"/>
  <c r="P17"/>
  <c r="P19"/>
  <c r="P21"/>
  <c r="P23"/>
  <c r="P25"/>
  <c r="P27"/>
  <c r="P29"/>
  <c r="P31"/>
  <c r="P33"/>
  <c r="B21" i="1"/>
  <c r="A22"/>
  <c r="R6" i="2"/>
  <c r="M14"/>
  <c r="M30"/>
  <c r="M9"/>
  <c r="M10"/>
  <c r="M20"/>
  <c r="M28"/>
  <c r="M17"/>
  <c r="M25"/>
  <c r="M33"/>
  <c r="M15"/>
  <c r="M18"/>
  <c r="M26"/>
  <c r="M12"/>
  <c r="M23"/>
  <c r="M31"/>
  <c r="M13"/>
  <c r="M16"/>
  <c r="M24"/>
  <c r="M32"/>
  <c r="M21"/>
  <c r="M29"/>
  <c r="M11"/>
  <c r="M22"/>
  <c r="M19"/>
  <c r="M27"/>
  <c r="N27"/>
  <c r="N26"/>
  <c r="N11"/>
  <c r="N16"/>
  <c r="N13"/>
  <c r="N17"/>
  <c r="N25"/>
  <c r="N18"/>
  <c r="N12"/>
  <c r="N31"/>
  <c r="N23"/>
  <c r="N32"/>
  <c r="N9"/>
  <c r="N21"/>
  <c r="N29"/>
  <c r="N14"/>
  <c r="N22"/>
  <c r="N30"/>
  <c r="N15"/>
  <c r="N19"/>
  <c r="N10"/>
  <c r="N20"/>
  <c r="N28"/>
  <c r="N33"/>
  <c r="N24"/>
  <c r="O14"/>
  <c r="O19"/>
  <c r="O27"/>
  <c r="O11"/>
  <c r="O20"/>
  <c r="O28"/>
  <c r="O12"/>
  <c r="O17"/>
  <c r="O25"/>
  <c r="O33"/>
  <c r="O18"/>
  <c r="O26"/>
  <c r="O10"/>
  <c r="O13"/>
  <c r="O23"/>
  <c r="O31"/>
  <c r="O16"/>
  <c r="O24"/>
  <c r="O32"/>
  <c r="O9"/>
  <c r="O21"/>
  <c r="O29"/>
  <c r="O15"/>
  <c r="O22"/>
  <c r="O30"/>
  <c r="P26"/>
  <c r="P18"/>
  <c r="P14"/>
  <c r="P27" i="13"/>
  <c r="P21"/>
  <c r="P17"/>
  <c r="P9"/>
  <c r="P26"/>
  <c r="P18"/>
  <c r="P10"/>
  <c r="A23" i="1"/>
  <c r="B22"/>
  <c r="P25" i="13"/>
  <c r="P19"/>
  <c r="P11"/>
  <c r="P28"/>
  <c r="P20"/>
  <c r="S6" i="10"/>
  <c r="R6" i="13"/>
  <c r="M31"/>
  <c r="M18"/>
  <c r="M27"/>
  <c r="M30"/>
  <c r="M13"/>
  <c r="M21"/>
  <c r="M10"/>
  <c r="M19"/>
  <c r="M24"/>
  <c r="M11"/>
  <c r="M9"/>
  <c r="M17"/>
  <c r="M25"/>
  <c r="M33"/>
  <c r="M14"/>
  <c r="M22"/>
  <c r="M26"/>
  <c r="M15"/>
  <c r="M23"/>
  <c r="M12"/>
  <c r="M20"/>
  <c r="M32"/>
  <c r="M29"/>
  <c r="M28"/>
  <c r="M16"/>
  <c r="N11"/>
  <c r="N19"/>
  <c r="N27"/>
  <c r="N16"/>
  <c r="N30"/>
  <c r="N32"/>
  <c r="N9"/>
  <c r="N17"/>
  <c r="N25"/>
  <c r="N33"/>
  <c r="N14"/>
  <c r="N26"/>
  <c r="N28"/>
  <c r="N15"/>
  <c r="N23"/>
  <c r="N31"/>
  <c r="N12"/>
  <c r="N20"/>
  <c r="N24"/>
  <c r="N13"/>
  <c r="N21"/>
  <c r="N29"/>
  <c r="N10"/>
  <c r="N18"/>
  <c r="N22"/>
  <c r="O13"/>
  <c r="O31"/>
  <c r="O26"/>
  <c r="O27"/>
  <c r="O12"/>
  <c r="O20"/>
  <c r="O11"/>
  <c r="O10"/>
  <c r="O9"/>
  <c r="O33"/>
  <c r="O18"/>
  <c r="O16"/>
  <c r="O24"/>
  <c r="O32"/>
  <c r="O15"/>
  <c r="O23"/>
  <c r="O29"/>
  <c r="O14"/>
  <c r="O22"/>
  <c r="O30"/>
  <c r="O21"/>
  <c r="O25"/>
  <c r="O28"/>
  <c r="O19"/>
  <c r="O17"/>
  <c r="P13"/>
  <c r="P30"/>
  <c r="P22"/>
  <c r="P14"/>
  <c r="P16"/>
  <c r="S6"/>
  <c r="S6" i="2"/>
  <c r="T6" i="10"/>
  <c r="B23" i="1"/>
  <c r="A24"/>
  <c r="U6" i="10"/>
  <c r="T6" i="13"/>
  <c r="T6" i="2"/>
  <c r="A25" i="1"/>
  <c r="B24"/>
  <c r="B25"/>
  <c r="A26"/>
  <c r="U6" i="13"/>
  <c r="U6" i="2"/>
  <c r="V6" i="10"/>
  <c r="U9"/>
  <c r="U11"/>
  <c r="U13"/>
  <c r="U15"/>
  <c r="U17"/>
  <c r="U10"/>
  <c r="U14"/>
  <c r="U16"/>
  <c r="U18"/>
  <c r="U20"/>
  <c r="U22"/>
  <c r="U24"/>
  <c r="U26"/>
  <c r="U28"/>
  <c r="U30"/>
  <c r="U32"/>
  <c r="U12"/>
  <c r="U19"/>
  <c r="U21"/>
  <c r="U23"/>
  <c r="U25"/>
  <c r="U27"/>
  <c r="U29"/>
  <c r="U31"/>
  <c r="U33"/>
  <c r="W6"/>
  <c r="R30"/>
  <c r="R9"/>
  <c r="R20"/>
  <c r="R28"/>
  <c r="R13"/>
  <c r="R23"/>
  <c r="R31"/>
  <c r="R16"/>
  <c r="R18"/>
  <c r="R26"/>
  <c r="R10"/>
  <c r="R21"/>
  <c r="R29"/>
  <c r="R15"/>
  <c r="R17"/>
  <c r="R24"/>
  <c r="R32"/>
  <c r="R19"/>
  <c r="R27"/>
  <c r="R12"/>
  <c r="R11"/>
  <c r="R22"/>
  <c r="R14"/>
  <c r="R25"/>
  <c r="R33"/>
  <c r="S14"/>
  <c r="S9"/>
  <c r="S11"/>
  <c r="S17"/>
  <c r="S32"/>
  <c r="S12"/>
  <c r="S13"/>
  <c r="S25"/>
  <c r="S33"/>
  <c r="S26"/>
  <c r="S10"/>
  <c r="S24"/>
  <c r="S23"/>
  <c r="S16"/>
  <c r="S21"/>
  <c r="S29"/>
  <c r="S15"/>
  <c r="S22"/>
  <c r="S30"/>
  <c r="S19"/>
  <c r="S27"/>
  <c r="S20"/>
  <c r="S28"/>
  <c r="S18"/>
  <c r="S31"/>
  <c r="T10"/>
  <c r="T21"/>
  <c r="T29"/>
  <c r="T14"/>
  <c r="T18"/>
  <c r="T26"/>
  <c r="T11"/>
  <c r="T19"/>
  <c r="T27"/>
  <c r="T9"/>
  <c r="T17"/>
  <c r="T24"/>
  <c r="T32"/>
  <c r="T13"/>
  <c r="T25"/>
  <c r="T33"/>
  <c r="T16"/>
  <c r="T22"/>
  <c r="T30"/>
  <c r="T12"/>
  <c r="T23"/>
  <c r="T31"/>
  <c r="T15"/>
  <c r="T20"/>
  <c r="T28"/>
  <c r="U10" i="2"/>
  <c r="U12"/>
  <c r="U9"/>
  <c r="U13"/>
  <c r="U16"/>
  <c r="U20"/>
  <c r="U22"/>
  <c r="U24"/>
  <c r="U28"/>
  <c r="U30"/>
  <c r="U32"/>
  <c r="V6"/>
  <c r="U11"/>
  <c r="U15"/>
  <c r="U17"/>
  <c r="U19"/>
  <c r="U21"/>
  <c r="U23"/>
  <c r="U25"/>
  <c r="U27"/>
  <c r="U29"/>
  <c r="U31"/>
  <c r="U33"/>
  <c r="A27" i="1"/>
  <c r="B26"/>
  <c r="U24" i="13"/>
  <c r="U32"/>
  <c r="V6"/>
  <c r="U16"/>
  <c r="U13"/>
  <c r="U15"/>
  <c r="U21"/>
  <c r="U27"/>
  <c r="U25"/>
  <c r="U29"/>
  <c r="B27" i="1"/>
  <c r="A28"/>
  <c r="W6" i="2"/>
  <c r="R9"/>
  <c r="R22"/>
  <c r="R17"/>
  <c r="R15"/>
  <c r="R20"/>
  <c r="R28"/>
  <c r="R14"/>
  <c r="R23"/>
  <c r="R31"/>
  <c r="R13"/>
  <c r="R18"/>
  <c r="R26"/>
  <c r="R10"/>
  <c r="R21"/>
  <c r="R29"/>
  <c r="R11"/>
  <c r="R16"/>
  <c r="R24"/>
  <c r="R32"/>
  <c r="R19"/>
  <c r="R27"/>
  <c r="R12"/>
  <c r="R30"/>
  <c r="R25"/>
  <c r="R33"/>
  <c r="S9"/>
  <c r="S10"/>
  <c r="S21"/>
  <c r="S29"/>
  <c r="S16"/>
  <c r="S24"/>
  <c r="S33"/>
  <c r="S15"/>
  <c r="S19"/>
  <c r="S27"/>
  <c r="S12"/>
  <c r="S22"/>
  <c r="S30"/>
  <c r="S20"/>
  <c r="S13"/>
  <c r="S25"/>
  <c r="S11"/>
  <c r="S14"/>
  <c r="S23"/>
  <c r="S31"/>
  <c r="S18"/>
  <c r="S26"/>
  <c r="S32"/>
  <c r="S17"/>
  <c r="S28"/>
  <c r="T15"/>
  <c r="T31"/>
  <c r="T32"/>
  <c r="T10"/>
  <c r="T11"/>
  <c r="T21"/>
  <c r="T29"/>
  <c r="T13"/>
  <c r="T22"/>
  <c r="T30"/>
  <c r="T19"/>
  <c r="T27"/>
  <c r="T9"/>
  <c r="T20"/>
  <c r="T28"/>
  <c r="T14"/>
  <c r="T17"/>
  <c r="T25"/>
  <c r="T33"/>
  <c r="T18"/>
  <c r="T26"/>
  <c r="T12"/>
  <c r="T23"/>
  <c r="T16"/>
  <c r="T24"/>
  <c r="X6" i="10"/>
  <c r="U33" i="13"/>
  <c r="U31"/>
  <c r="U9"/>
  <c r="U28"/>
  <c r="U20"/>
  <c r="U12"/>
  <c r="U23"/>
  <c r="U19"/>
  <c r="U11"/>
  <c r="U30"/>
  <c r="U22"/>
  <c r="U14"/>
  <c r="U26" i="2"/>
  <c r="U18"/>
  <c r="U14"/>
  <c r="W6" i="13"/>
  <c r="R21"/>
  <c r="R11"/>
  <c r="R19"/>
  <c r="R27"/>
  <c r="R10"/>
  <c r="R18"/>
  <c r="R30"/>
  <c r="R9"/>
  <c r="R17"/>
  <c r="R25"/>
  <c r="R33"/>
  <c r="R16"/>
  <c r="R26"/>
  <c r="R32"/>
  <c r="R15"/>
  <c r="R23"/>
  <c r="R31"/>
  <c r="R14"/>
  <c r="R22"/>
  <c r="R28"/>
  <c r="R13"/>
  <c r="R29"/>
  <c r="R12"/>
  <c r="R20"/>
  <c r="R24"/>
  <c r="S13"/>
  <c r="S21"/>
  <c r="S29"/>
  <c r="S12"/>
  <c r="S20"/>
  <c r="S22"/>
  <c r="S28"/>
  <c r="S11"/>
  <c r="S19"/>
  <c r="S27"/>
  <c r="S10"/>
  <c r="S18"/>
  <c r="S32"/>
  <c r="S30"/>
  <c r="S9"/>
  <c r="S17"/>
  <c r="S25"/>
  <c r="S33"/>
  <c r="S16"/>
  <c r="S15"/>
  <c r="S23"/>
  <c r="S31"/>
  <c r="S14"/>
  <c r="S24"/>
  <c r="S26"/>
  <c r="T12"/>
  <c r="T20"/>
  <c r="T28"/>
  <c r="T17"/>
  <c r="T25"/>
  <c r="T31"/>
  <c r="T10"/>
  <c r="T18"/>
  <c r="T26"/>
  <c r="T15"/>
  <c r="T23"/>
  <c r="T27"/>
  <c r="T16"/>
  <c r="T24"/>
  <c r="T32"/>
  <c r="T13"/>
  <c r="T21"/>
  <c r="T33"/>
  <c r="T14"/>
  <c r="T22"/>
  <c r="T30"/>
  <c r="T11"/>
  <c r="T19"/>
  <c r="T29"/>
  <c r="T9"/>
  <c r="U18"/>
  <c r="U10"/>
  <c r="U26"/>
  <c r="U17"/>
  <c r="Y6" i="10"/>
  <c r="X6" i="13"/>
  <c r="A29" i="1"/>
  <c r="B28"/>
  <c r="X6" i="2"/>
  <c r="Y6"/>
  <c r="B29" i="1"/>
  <c r="A30"/>
  <c r="Z6" i="10"/>
  <c r="Y6" i="13"/>
  <c r="Z6"/>
  <c r="A31" i="1"/>
  <c r="B30"/>
  <c r="AA6" i="10"/>
  <c r="Z9"/>
  <c r="Z11"/>
  <c r="Z13"/>
  <c r="Z15"/>
  <c r="Z12"/>
  <c r="Z14"/>
  <c r="Z18"/>
  <c r="Z22"/>
  <c r="Z24"/>
  <c r="Z26"/>
  <c r="Z30"/>
  <c r="Z32"/>
  <c r="Z10"/>
  <c r="Z19"/>
  <c r="Z21"/>
  <c r="Z23"/>
  <c r="Z27"/>
  <c r="Z29"/>
  <c r="Z31"/>
  <c r="Z6" i="2"/>
  <c r="AA6"/>
  <c r="Z14"/>
  <c r="Z18"/>
  <c r="Z26"/>
  <c r="Z30"/>
  <c r="Z32"/>
  <c r="Z9"/>
  <c r="Z17"/>
  <c r="Z19"/>
  <c r="Z21"/>
  <c r="Z25"/>
  <c r="Z27"/>
  <c r="Z29"/>
  <c r="Z33"/>
  <c r="AA6" i="13"/>
  <c r="Z16"/>
  <c r="Z15"/>
  <c r="Z17"/>
  <c r="Z29"/>
  <c r="Z33"/>
  <c r="Z27"/>
  <c r="Z31"/>
  <c r="Z33" i="10"/>
  <c r="Z25"/>
  <c r="Z16"/>
  <c r="Z28"/>
  <c r="Z20"/>
  <c r="Z17"/>
  <c r="B31" i="1"/>
  <c r="A32"/>
  <c r="B32"/>
  <c r="AB6" i="10"/>
  <c r="W15"/>
  <c r="W22"/>
  <c r="W30"/>
  <c r="W19"/>
  <c r="W27"/>
  <c r="W10"/>
  <c r="W11"/>
  <c r="W20"/>
  <c r="W28"/>
  <c r="W17"/>
  <c r="W25"/>
  <c r="W33"/>
  <c r="W9"/>
  <c r="W18"/>
  <c r="W26"/>
  <c r="W12"/>
  <c r="W23"/>
  <c r="W31"/>
  <c r="W14"/>
  <c r="W16"/>
  <c r="W24"/>
  <c r="W32"/>
  <c r="W21"/>
  <c r="W29"/>
  <c r="W13"/>
  <c r="X14"/>
  <c r="X19"/>
  <c r="X27"/>
  <c r="X11"/>
  <c r="X20"/>
  <c r="X28"/>
  <c r="X12"/>
  <c r="X17"/>
  <c r="X25"/>
  <c r="X33"/>
  <c r="X18"/>
  <c r="X26"/>
  <c r="X10"/>
  <c r="X9"/>
  <c r="X23"/>
  <c r="X31"/>
  <c r="X15"/>
  <c r="X24"/>
  <c r="X32"/>
  <c r="X16"/>
  <c r="X21"/>
  <c r="X29"/>
  <c r="X13"/>
  <c r="X22"/>
  <c r="X30"/>
  <c r="Y25"/>
  <c r="Y33"/>
  <c r="Y15"/>
  <c r="Y24"/>
  <c r="Y32"/>
  <c r="Y12"/>
  <c r="Y23"/>
  <c r="Y31"/>
  <c r="Y14"/>
  <c r="Y22"/>
  <c r="Y30"/>
  <c r="Y17"/>
  <c r="Y10"/>
  <c r="Y21"/>
  <c r="Y29"/>
  <c r="Y13"/>
  <c r="Y20"/>
  <c r="Y28"/>
  <c r="Y16"/>
  <c r="Y27"/>
  <c r="Y26"/>
  <c r="Y19"/>
  <c r="Y11"/>
  <c r="Y18"/>
  <c r="Y9"/>
  <c r="Z23" i="13"/>
  <c r="Z19"/>
  <c r="Z11"/>
  <c r="Z30"/>
  <c r="Z22"/>
  <c r="Z14"/>
  <c r="Z31" i="2"/>
  <c r="Z23"/>
  <c r="Z13"/>
  <c r="Z28"/>
  <c r="Z20"/>
  <c r="Z11"/>
  <c r="Z10"/>
  <c r="AC6" i="10"/>
  <c r="Z21" i="13"/>
  <c r="Z25"/>
  <c r="Z13"/>
  <c r="Z32"/>
  <c r="Z24"/>
  <c r="Z22" i="2"/>
  <c r="Z15"/>
  <c r="Z12"/>
  <c r="AB6" i="13"/>
  <c r="W9"/>
  <c r="W25"/>
  <c r="W24"/>
  <c r="W15"/>
  <c r="W23"/>
  <c r="W31"/>
  <c r="W14"/>
  <c r="W22"/>
  <c r="W26"/>
  <c r="W13"/>
  <c r="W21"/>
  <c r="W29"/>
  <c r="W12"/>
  <c r="W20"/>
  <c r="W32"/>
  <c r="W11"/>
  <c r="W19"/>
  <c r="W27"/>
  <c r="W10"/>
  <c r="W18"/>
  <c r="W28"/>
  <c r="W17"/>
  <c r="W33"/>
  <c r="W16"/>
  <c r="W30"/>
  <c r="X13"/>
  <c r="X21"/>
  <c r="X29"/>
  <c r="X12"/>
  <c r="X20"/>
  <c r="X30"/>
  <c r="X11"/>
  <c r="X19"/>
  <c r="X27"/>
  <c r="X10"/>
  <c r="X18"/>
  <c r="X26"/>
  <c r="X32"/>
  <c r="X9"/>
  <c r="X17"/>
  <c r="X25"/>
  <c r="X33"/>
  <c r="X16"/>
  <c r="X22"/>
  <c r="X28"/>
  <c r="X24"/>
  <c r="X15"/>
  <c r="X23"/>
  <c r="X31"/>
  <c r="X14"/>
  <c r="Y16"/>
  <c r="Y24"/>
  <c r="Y32"/>
  <c r="Y13"/>
  <c r="Y21"/>
  <c r="Y25"/>
  <c r="Y14"/>
  <c r="Y22"/>
  <c r="Y30"/>
  <c r="Y11"/>
  <c r="Y19"/>
  <c r="Y31"/>
  <c r="Y12"/>
  <c r="Y20"/>
  <c r="Y28"/>
  <c r="Y9"/>
  <c r="Y17"/>
  <c r="Y27"/>
  <c r="Y33"/>
  <c r="Y10"/>
  <c r="Y18"/>
  <c r="Y26"/>
  <c r="Y15"/>
  <c r="Y23"/>
  <c r="Y29"/>
  <c r="Z26"/>
  <c r="Z18"/>
  <c r="Z10"/>
  <c r="Z24" i="2"/>
  <c r="Z16"/>
  <c r="AB6"/>
  <c r="W13"/>
  <c r="W16"/>
  <c r="W32"/>
  <c r="W29"/>
  <c r="W28"/>
  <c r="W11"/>
  <c r="W14"/>
  <c r="W30"/>
  <c r="W19"/>
  <c r="W17"/>
  <c r="W9"/>
  <c r="W10"/>
  <c r="W20"/>
  <c r="W25"/>
  <c r="W15"/>
  <c r="W18"/>
  <c r="W26"/>
  <c r="W12"/>
  <c r="W23"/>
  <c r="W31"/>
  <c r="W24"/>
  <c r="W21"/>
  <c r="W22"/>
  <c r="W27"/>
  <c r="W33"/>
  <c r="X13"/>
  <c r="X19"/>
  <c r="X27"/>
  <c r="X18"/>
  <c r="X26"/>
  <c r="X11"/>
  <c r="X17"/>
  <c r="X25"/>
  <c r="X33"/>
  <c r="X16"/>
  <c r="X24"/>
  <c r="X32"/>
  <c r="X9"/>
  <c r="X12"/>
  <c r="X23"/>
  <c r="X31"/>
  <c r="X14"/>
  <c r="X22"/>
  <c r="X30"/>
  <c r="X15"/>
  <c r="X21"/>
  <c r="X29"/>
  <c r="X10"/>
  <c r="X20"/>
  <c r="X28"/>
  <c r="Y19"/>
  <c r="Y26"/>
  <c r="Y12"/>
  <c r="Y16"/>
  <c r="Y25"/>
  <c r="Y24"/>
  <c r="Y10"/>
  <c r="Y13"/>
  <c r="Y23"/>
  <c r="Y31"/>
  <c r="Y15"/>
  <c r="Y22"/>
  <c r="Y30"/>
  <c r="Y9"/>
  <c r="Y21"/>
  <c r="Y29"/>
  <c r="Y11"/>
  <c r="Y20"/>
  <c r="Y28"/>
  <c r="Y14"/>
  <c r="Y27"/>
  <c r="Y18"/>
  <c r="Y17"/>
  <c r="Y33"/>
  <c r="Y32"/>
  <c r="Z9" i="13"/>
  <c r="Z28"/>
  <c r="Z20"/>
  <c r="Z12"/>
  <c r="AC6"/>
  <c r="AC6" i="2"/>
  <c r="AD6" i="10"/>
  <c r="AE6"/>
  <c r="AC15" i="13"/>
  <c r="AC23"/>
  <c r="AC31"/>
  <c r="AD6"/>
  <c r="AC9"/>
  <c r="AC12"/>
  <c r="AC14"/>
  <c r="AC16"/>
  <c r="AC20"/>
  <c r="AC22"/>
  <c r="AC24"/>
  <c r="AC32"/>
  <c r="AC26"/>
  <c r="AC30"/>
  <c r="AD6" i="2"/>
  <c r="AF6" i="10"/>
  <c r="AE9"/>
  <c r="AE11"/>
  <c r="AE13"/>
  <c r="AE15"/>
  <c r="AE10"/>
  <c r="AE18"/>
  <c r="AE20"/>
  <c r="AE22"/>
  <c r="AE24"/>
  <c r="AE26"/>
  <c r="AE28"/>
  <c r="AE30"/>
  <c r="AE32"/>
  <c r="AE12"/>
  <c r="AE14"/>
  <c r="AE16"/>
  <c r="AE17"/>
  <c r="AE19"/>
  <c r="AE21"/>
  <c r="AE23"/>
  <c r="AE25"/>
  <c r="AE27"/>
  <c r="AE29"/>
  <c r="AE31"/>
  <c r="AE33"/>
  <c r="AC28" i="13"/>
  <c r="AC18"/>
  <c r="AC10"/>
  <c r="AC29"/>
  <c r="AC21"/>
  <c r="AC13"/>
  <c r="AC33"/>
  <c r="AC25"/>
  <c r="AC17"/>
  <c r="AE6" i="2"/>
  <c r="AE6" i="13"/>
  <c r="AB15"/>
  <c r="AB23"/>
  <c r="AB31"/>
  <c r="AB12"/>
  <c r="AB24"/>
  <c r="AB13"/>
  <c r="AB21"/>
  <c r="AB29"/>
  <c r="AB10"/>
  <c r="AB18"/>
  <c r="AB30"/>
  <c r="AB11"/>
  <c r="AB19"/>
  <c r="AB27"/>
  <c r="AB16"/>
  <c r="AB26"/>
  <c r="AB32"/>
  <c r="AB9"/>
  <c r="AB17"/>
  <c r="AB25"/>
  <c r="AB33"/>
  <c r="AB14"/>
  <c r="AB22"/>
  <c r="AB28"/>
  <c r="AB20"/>
  <c r="AC27"/>
  <c r="AC19"/>
  <c r="AC11"/>
  <c r="AB9" i="10"/>
  <c r="AB18"/>
  <c r="AB26"/>
  <c r="AB10"/>
  <c r="AB19"/>
  <c r="AB27"/>
  <c r="AB12"/>
  <c r="AB14"/>
  <c r="AB24"/>
  <c r="AB32"/>
  <c r="AB17"/>
  <c r="AB25"/>
  <c r="AB33"/>
  <c r="AB13"/>
  <c r="AB22"/>
  <c r="AB30"/>
  <c r="AB16"/>
  <c r="AB23"/>
  <c r="AB31"/>
  <c r="AB11"/>
  <c r="AB20"/>
  <c r="AB28"/>
  <c r="AB15"/>
  <c r="AB21"/>
  <c r="AB29"/>
  <c r="AC17"/>
  <c r="AC28"/>
  <c r="AC12"/>
  <c r="AC15"/>
  <c r="AC23"/>
  <c r="AC31"/>
  <c r="AC18"/>
  <c r="AC26"/>
  <c r="AC13"/>
  <c r="AC10"/>
  <c r="AC11"/>
  <c r="AC29"/>
  <c r="AC32"/>
  <c r="AC16"/>
  <c r="AC19"/>
  <c r="AC27"/>
  <c r="AC9"/>
  <c r="AC22"/>
  <c r="AC30"/>
  <c r="AC14"/>
  <c r="AC25"/>
  <c r="AC33"/>
  <c r="AC20"/>
  <c r="AC21"/>
  <c r="AC24"/>
  <c r="AD16"/>
  <c r="AD23"/>
  <c r="AD31"/>
  <c r="AD18"/>
  <c r="AD26"/>
  <c r="AD11"/>
  <c r="AD12"/>
  <c r="AD21"/>
  <c r="AD29"/>
  <c r="AD13"/>
  <c r="AD24"/>
  <c r="AD32"/>
  <c r="AD10"/>
  <c r="AD19"/>
  <c r="AD27"/>
  <c r="AD9"/>
  <c r="AD22"/>
  <c r="AD30"/>
  <c r="AD15"/>
  <c r="AD17"/>
  <c r="AD25"/>
  <c r="AD33"/>
  <c r="AD20"/>
  <c r="AD28"/>
  <c r="AD14"/>
  <c r="AF6" i="13"/>
  <c r="AE10"/>
  <c r="AE12"/>
  <c r="AE14"/>
  <c r="AE16"/>
  <c r="AE18"/>
  <c r="AE20"/>
  <c r="AE22"/>
  <c r="AE24"/>
  <c r="AE26"/>
  <c r="AE28"/>
  <c r="AE30"/>
  <c r="AE32"/>
  <c r="AE9"/>
  <c r="AE11"/>
  <c r="AE13"/>
  <c r="AE15"/>
  <c r="AE17"/>
  <c r="AE19"/>
  <c r="AE21"/>
  <c r="AE23"/>
  <c r="AE25"/>
  <c r="AE29"/>
  <c r="AE33"/>
  <c r="AE27"/>
  <c r="AE31"/>
  <c r="AF6" i="2"/>
  <c r="AE10"/>
  <c r="AE9"/>
  <c r="AE20"/>
  <c r="AE28"/>
  <c r="AE15"/>
  <c r="AE23"/>
  <c r="AE31"/>
  <c r="AE25"/>
  <c r="AE13"/>
  <c r="AE27"/>
  <c r="AE19"/>
  <c r="AE24"/>
  <c r="AE16"/>
  <c r="AE29"/>
  <c r="AE21"/>
  <c r="AE11"/>
  <c r="AE26"/>
  <c r="AE18"/>
  <c r="AE14"/>
  <c r="AE33"/>
  <c r="AE30"/>
  <c r="AE22"/>
  <c r="AB12"/>
  <c r="AB17"/>
  <c r="AB9"/>
  <c r="AB20"/>
  <c r="AB28"/>
  <c r="AB14"/>
  <c r="AB23"/>
  <c r="AB31"/>
  <c r="AB15"/>
  <c r="AB18"/>
  <c r="AB26"/>
  <c r="AB10"/>
  <c r="AB21"/>
  <c r="AB29"/>
  <c r="AB13"/>
  <c r="AB16"/>
  <c r="AB24"/>
  <c r="AB32"/>
  <c r="AB19"/>
  <c r="AB27"/>
  <c r="AB11"/>
  <c r="AB22"/>
  <c r="AB30"/>
  <c r="AB25"/>
  <c r="AB33"/>
  <c r="AC15"/>
  <c r="AC26"/>
  <c r="AC23"/>
  <c r="AC16"/>
  <c r="AC13"/>
  <c r="AC17"/>
  <c r="AC25"/>
  <c r="AC18"/>
  <c r="AC14"/>
  <c r="AC24"/>
  <c r="AC32"/>
  <c r="AC9"/>
  <c r="AC10"/>
  <c r="AC21"/>
  <c r="AC29"/>
  <c r="AC12"/>
  <c r="AC22"/>
  <c r="AC30"/>
  <c r="AC19"/>
  <c r="AC27"/>
  <c r="AC20"/>
  <c r="AC28"/>
  <c r="AC33"/>
  <c r="AC11"/>
  <c r="AC31"/>
  <c r="AD11"/>
  <c r="AD21"/>
  <c r="AD29"/>
  <c r="AD13"/>
  <c r="AD22"/>
  <c r="AD14"/>
  <c r="AD19"/>
  <c r="AD27"/>
  <c r="AD9"/>
  <c r="AD20"/>
  <c r="AD28"/>
  <c r="AD12"/>
  <c r="AD17"/>
  <c r="AD25"/>
  <c r="AD33"/>
  <c r="AD18"/>
  <c r="AD26"/>
  <c r="AD10"/>
  <c r="AD15"/>
  <c r="AD23"/>
  <c r="AD31"/>
  <c r="AD16"/>
  <c r="AD24"/>
  <c r="AD32"/>
  <c r="AD30"/>
  <c r="AF10" i="13"/>
  <c r="AF12"/>
  <c r="AF14"/>
  <c r="AF16"/>
  <c r="AF18"/>
  <c r="AF20"/>
  <c r="AF22"/>
  <c r="AF24"/>
  <c r="AF26"/>
  <c r="AF28"/>
  <c r="AF30"/>
  <c r="AF32"/>
  <c r="AF9"/>
  <c r="AF11"/>
  <c r="AF13"/>
  <c r="AF15"/>
  <c r="AF17"/>
  <c r="AF19"/>
  <c r="AF23"/>
  <c r="AF27"/>
  <c r="AF31"/>
  <c r="AF21"/>
  <c r="AF25"/>
  <c r="AF29"/>
  <c r="AF33"/>
  <c r="AE17" i="2"/>
  <c r="AE32"/>
  <c r="AE12"/>
  <c r="AM9" i="28"/>
  <c r="G10"/>
  <c r="AM10"/>
  <c r="G11"/>
  <c r="G12"/>
  <c r="AM11"/>
  <c r="G13"/>
  <c r="AM12"/>
  <c r="AM13"/>
  <c r="G14"/>
  <c r="AM14"/>
  <c r="G15"/>
  <c r="G16"/>
  <c r="AM15"/>
  <c r="G17"/>
  <c r="AM16"/>
  <c r="AM17"/>
  <c r="G18"/>
  <c r="AM18"/>
  <c r="G19"/>
  <c r="G20"/>
  <c r="AM19"/>
  <c r="G21"/>
  <c r="AM20"/>
  <c r="AM21"/>
  <c r="G22"/>
  <c r="AM22"/>
  <c r="G23"/>
  <c r="G24"/>
  <c r="AM23"/>
  <c r="G25"/>
  <c r="AM25"/>
  <c r="AM24"/>
  <c r="AM27"/>
  <c r="BT36" i="22" l="1"/>
  <c r="AS37"/>
  <c r="AM6"/>
  <c r="BR6" s="1"/>
  <c r="BT82"/>
  <c r="BT84" s="1"/>
  <c r="B67" i="20"/>
  <c r="BT68" i="22"/>
  <c r="J68" i="20"/>
  <c r="B68"/>
  <c r="J67"/>
  <c r="BT70" i="22"/>
  <c r="BT61"/>
  <c r="BT64"/>
  <c r="BT65"/>
  <c r="BT59"/>
  <c r="BT79"/>
  <c r="BT80" s="1"/>
  <c r="F67" i="20"/>
  <c r="J69"/>
  <c r="F69"/>
  <c r="B69"/>
  <c r="E13"/>
  <c r="J36" s="1"/>
  <c r="B6" i="21"/>
  <c r="BT69" i="22"/>
  <c r="BT71" s="1"/>
  <c r="AP60" i="28"/>
  <c r="AO60"/>
  <c r="AO59"/>
  <c r="AP59"/>
  <c r="AO27"/>
  <c r="AR27"/>
  <c r="AR28" s="1"/>
  <c r="AR50" s="1"/>
  <c r="G10" i="22"/>
  <c r="L8"/>
  <c r="AM7"/>
  <c r="BT57"/>
  <c r="BT86" l="1"/>
  <c r="BT85"/>
  <c r="BT87"/>
  <c r="J30" i="20"/>
  <c r="J42"/>
  <c r="J70" s="1"/>
  <c r="BT88" i="22"/>
  <c r="F27" i="20"/>
  <c r="B48"/>
  <c r="F22"/>
  <c r="J26"/>
  <c r="J51"/>
  <c r="J27"/>
  <c r="J43"/>
  <c r="F49"/>
  <c r="F34"/>
  <c r="F33"/>
  <c r="F43"/>
  <c r="B43"/>
  <c r="J52"/>
  <c r="B29"/>
  <c r="B22"/>
  <c r="B27"/>
  <c r="J45"/>
  <c r="F48"/>
  <c r="B38"/>
  <c r="B41"/>
  <c r="F46"/>
  <c r="B51"/>
  <c r="F35"/>
  <c r="F37"/>
  <c r="B31"/>
  <c r="B46"/>
  <c r="F32"/>
  <c r="J33"/>
  <c r="J37"/>
  <c r="F23"/>
  <c r="B49"/>
  <c r="B45"/>
  <c r="B28"/>
  <c r="J48"/>
  <c r="J44"/>
  <c r="B24"/>
  <c r="B47"/>
  <c r="F28"/>
  <c r="F41"/>
  <c r="F25"/>
  <c r="J34"/>
  <c r="B26"/>
  <c r="F51"/>
  <c r="BT66" i="22"/>
  <c r="BT72" s="1"/>
  <c r="F44" i="20"/>
  <c r="B35"/>
  <c r="B39"/>
  <c r="J47"/>
  <c r="J22"/>
  <c r="F30"/>
  <c r="J31"/>
  <c r="B23"/>
  <c r="F45"/>
  <c r="J24"/>
  <c r="B25"/>
  <c r="B50"/>
  <c r="J28"/>
  <c r="F36"/>
  <c r="F29"/>
  <c r="J41"/>
  <c r="J38"/>
  <c r="F26"/>
  <c r="J50"/>
  <c r="B52"/>
  <c r="F50"/>
  <c r="J46"/>
  <c r="J49"/>
  <c r="F47"/>
  <c r="J40"/>
  <c r="F40"/>
  <c r="B34"/>
  <c r="F24"/>
  <c r="J39"/>
  <c r="J32"/>
  <c r="B44"/>
  <c r="F38"/>
  <c r="F31"/>
  <c r="F52"/>
  <c r="B32"/>
  <c r="B30"/>
  <c r="B40"/>
  <c r="F42"/>
  <c r="J29"/>
  <c r="J25"/>
  <c r="F39"/>
  <c r="B37"/>
  <c r="J35"/>
  <c r="J23"/>
  <c r="B36"/>
  <c r="B33"/>
  <c r="B42"/>
  <c r="AP61" i="28"/>
  <c r="BT81" i="22"/>
  <c r="AP62" i="28"/>
  <c r="AO62"/>
  <c r="AO61"/>
  <c r="G11" i="22"/>
  <c r="BR7"/>
  <c r="L9"/>
  <c r="AM8"/>
  <c r="BR8" s="1"/>
  <c r="J71" i="20" l="1"/>
  <c r="J74" s="1"/>
  <c r="B71"/>
  <c r="F71"/>
  <c r="F70"/>
  <c r="BT73" i="22"/>
  <c r="BT74" s="1"/>
  <c r="B70" i="20"/>
  <c r="AR63" i="28"/>
  <c r="L10" i="22"/>
  <c r="AM9"/>
  <c r="G12"/>
  <c r="B74" i="20" l="1"/>
  <c r="F74"/>
  <c r="L11" i="22"/>
  <c r="AM10"/>
  <c r="BR10" s="1"/>
  <c r="BR9"/>
  <c r="G13"/>
  <c r="G14" l="1"/>
  <c r="L12"/>
  <c r="AM11"/>
  <c r="BR11" l="1"/>
  <c r="G15"/>
  <c r="L13"/>
  <c r="AM12"/>
  <c r="BR12" s="1"/>
  <c r="L14" l="1"/>
  <c r="AM13"/>
  <c r="BR13" s="1"/>
  <c r="G16"/>
  <c r="G17" l="1"/>
  <c r="L15"/>
  <c r="AM14"/>
  <c r="L16" l="1"/>
  <c r="AM15"/>
  <c r="BR15" s="1"/>
  <c r="BR14"/>
  <c r="G18"/>
  <c r="L17" l="1"/>
  <c r="AM16"/>
  <c r="BR16" s="1"/>
  <c r="G19"/>
  <c r="L18" l="1"/>
  <c r="AM17"/>
  <c r="BR17" s="1"/>
  <c r="G20"/>
  <c r="L19" l="1"/>
  <c r="AM18"/>
  <c r="BR18" s="1"/>
  <c r="G21"/>
  <c r="L20" l="1"/>
  <c r="AM19"/>
  <c r="BR19" s="1"/>
  <c r="G22"/>
  <c r="G23" l="1"/>
  <c r="L21"/>
  <c r="AM20"/>
  <c r="BR20" s="1"/>
  <c r="L22" l="1"/>
  <c r="AM21"/>
  <c r="BR21" s="1"/>
  <c r="G24"/>
  <c r="L23" l="1"/>
  <c r="AM22"/>
  <c r="BR22" s="1"/>
  <c r="G25"/>
  <c r="L24" l="1"/>
  <c r="AM23"/>
  <c r="BR23" s="1"/>
  <c r="L25" l="1"/>
  <c r="AM25" s="1"/>
  <c r="AM24"/>
  <c r="BR24" s="1"/>
  <c r="BR25" l="1"/>
  <c r="BR27" s="1"/>
  <c r="BT27" s="1"/>
  <c r="AM27"/>
  <c r="BT98" l="1"/>
  <c r="BT28"/>
  <c r="BT30"/>
  <c r="D11" i="20"/>
  <c r="BT33" i="22" l="1"/>
  <c r="BT34"/>
  <c r="E86" i="20"/>
  <c r="E83"/>
  <c r="E84"/>
  <c r="E87"/>
  <c r="E85"/>
  <c r="BT78" i="22"/>
  <c r="B9" i="21"/>
  <c r="B14" l="1"/>
  <c r="B15"/>
  <c r="E91" i="20"/>
  <c r="BT45" i="22" s="1"/>
  <c r="AR36" i="28" s="1"/>
  <c r="B18" i="21" l="1"/>
  <c r="B19"/>
  <c r="B16"/>
  <c r="B17" s="1"/>
  <c r="B21" s="1"/>
  <c r="B25"/>
  <c r="B20" l="1"/>
  <c r="B22" s="1"/>
  <c r="B23"/>
  <c r="B24" l="1"/>
  <c r="B26" s="1"/>
  <c r="BT46" i="22" s="1"/>
  <c r="AR37" i="28" l="1"/>
  <c r="AR49" s="1"/>
  <c r="AR68" s="1"/>
  <c r="AR69" s="1"/>
  <c r="AR70" s="1"/>
  <c r="BT77" i="22"/>
  <c r="BT93" s="1"/>
  <c r="BT94" s="1"/>
  <c r="BT95" l="1"/>
  <c r="BT96" s="1"/>
  <c r="BT97" s="1"/>
  <c r="BT99"/>
  <c r="BT100" s="1"/>
</calcChain>
</file>

<file path=xl/comments1.xml><?xml version="1.0" encoding="utf-8"?>
<comments xmlns="http://schemas.openxmlformats.org/spreadsheetml/2006/main">
  <authors>
    <author>WILLIAMS COMPANIES, INC.</author>
    <author>markhul</author>
  </authors>
  <commentList>
    <comment ref="G5" authorId="0">
      <text>
        <r>
          <rPr>
            <b/>
            <sz val="10"/>
            <color indexed="81"/>
            <rFont val="Tahoma"/>
            <family val="2"/>
          </rPr>
          <t>Molecular Weight from Periodic Table</t>
        </r>
      </text>
    </comment>
    <comment ref="L5" authorId="0">
      <text>
        <r>
          <rPr>
            <b/>
            <sz val="10"/>
            <color indexed="81"/>
            <rFont val="Tahoma"/>
            <family val="2"/>
          </rPr>
          <t>Molecular Weight from Periodic Table</t>
        </r>
      </text>
    </comment>
    <comment ref="Q5" authorId="0">
      <text>
        <r>
          <rPr>
            <b/>
            <sz val="10"/>
            <color indexed="81"/>
            <rFont val="Tahoma"/>
            <family val="2"/>
          </rPr>
          <t>Molecular Weight from Periodic Table</t>
        </r>
      </text>
    </comment>
    <comment ref="V5" authorId="0">
      <text>
        <r>
          <rPr>
            <b/>
            <sz val="10"/>
            <color indexed="81"/>
            <rFont val="Tahoma"/>
            <family val="2"/>
          </rPr>
          <t>Molecular Weight from Periodic Table</t>
        </r>
      </text>
    </comment>
    <comment ref="AA5" authorId="0">
      <text>
        <r>
          <rPr>
            <b/>
            <sz val="10"/>
            <color indexed="81"/>
            <rFont val="Tahoma"/>
            <family val="2"/>
          </rPr>
          <t>Molecular Weight from Periodic Table</t>
        </r>
      </text>
    </comment>
    <comment ref="AF5" authorId="0">
      <text>
        <r>
          <rPr>
            <b/>
            <sz val="10"/>
            <color indexed="81"/>
            <rFont val="Tahoma"/>
            <family val="2"/>
          </rPr>
          <t>Molecular Weight from Periodic Table</t>
        </r>
      </text>
    </comment>
    <comment ref="AK5" authorId="0">
      <text>
        <r>
          <rPr>
            <b/>
            <sz val="10"/>
            <color indexed="81"/>
            <rFont val="Tahoma"/>
            <family val="2"/>
          </rPr>
          <t>Molecular Weight from Periodic Table</t>
        </r>
      </text>
    </comment>
    <comment ref="BT40" authorId="0">
      <text>
        <r>
          <rPr>
            <b/>
            <sz val="8"/>
            <color indexed="81"/>
            <rFont val="Tahoma"/>
            <family val="2"/>
          </rPr>
          <t xml:space="preserve">Albany 269 ft
Baker 3351 ft
Boise 3200 ft
Buhl 3345 ft
Burley 4269 ft
Caldwell 2497 ft
Chehalis 470 ft
Cisco 4400 ft
Eugene 655 ft
Goldendale 1712 ft
Green River 6224 ft
Kemmerer 6610 ft
La Plata B 6643 ft
Lava Hot Springs 4910 ft
Little Valley 2889 ft
McMinnville 185 ft
Meacham 3780 ft
Mesa 1050 ft
Moab 5873 ft
Mountain Home 3190 ft
Mount Vernon 150 ft
Muddy Creek 6855 ft
Oregon City 170 ft
Owyhee 5230 ft
Pegram 6070 ft
Pleasant View 7014 ft
Plymouth 304 ft
Pocatello 4655 ft
Rangely 5500 ft
Roosevelt 1220 ft
Snohomish 466 ft
Soda Springs 6135 ft
Sumas 35 ft
Sumner 456 ft
Tumwater 110 ft
Vernal 6008 ft
Washougal 530 ft
Willard 1280 ft
Winchester 600 ft
Zillah 1079 ft
</t>
        </r>
      </text>
    </comment>
    <comment ref="BT48" authorId="0">
      <text>
        <r>
          <rPr>
            <b/>
            <sz val="10"/>
            <color indexed="81"/>
            <rFont val="Tahoma"/>
            <family val="2"/>
          </rPr>
          <t>Nominal Inside Diameter
1.687
1.939
2.067
2.300
2.624
2.900
3.068
3.152
3.438
3.826
4.026
4.897
5.187
5.761
6.065
7.625
7.981
8.071
9.562
10.020
10.136
11.374
11.938
12.090
14.688
15.000
15.250
18.812
19.000
19.250
22.624
23.000
23.250
28.750
29.000
29.250</t>
        </r>
        <r>
          <rPr>
            <b/>
            <sz val="8"/>
            <color indexed="81"/>
            <rFont val="Tahoma"/>
            <family val="2"/>
          </rPr>
          <t xml:space="preserve">
</t>
        </r>
      </text>
    </comment>
    <comment ref="BT49" authorId="0">
      <text>
        <r>
          <rPr>
            <b/>
            <sz val="10"/>
            <color indexed="81"/>
            <rFont val="Tahoma"/>
            <family val="2"/>
          </rPr>
          <t>Orifice Diameter
0.250
0.375
0.500
0.625
0.750
0.875
1.000
1.125
1.250
1.375
1.500
1.625
1.750
1.875
2.000
2.250
2.375
2.500
2.750
2.875
3.000
3.250
3.500
3.625
2.750
4.000
4.250
4.500
4.625
4.750
5.000</t>
        </r>
        <r>
          <rPr>
            <b/>
            <sz val="8"/>
            <color indexed="81"/>
            <rFont val="Tahoma"/>
            <family val="2"/>
          </rPr>
          <t xml:space="preserve">
</t>
        </r>
        <r>
          <rPr>
            <sz val="8"/>
            <color indexed="81"/>
            <rFont val="Tahoma"/>
            <family val="2"/>
          </rPr>
          <t xml:space="preserve">
</t>
        </r>
      </text>
    </comment>
    <comment ref="BT90" authorId="1">
      <text>
        <r>
          <rPr>
            <b/>
            <sz val="9"/>
            <color indexed="81"/>
            <rFont val="Tahoma"/>
            <family val="2"/>
          </rPr>
          <t xml:space="preserve">Albany 44.6014391208
Baker 44.8575179122
Boise 43.3475217380
Buhl 42.7091749292
Burley 42.4820580608
Caldwell 43.8108682547
Chehalis 46.5338227551
Cisco 38.9335362220
Eugene 43.9759158148
Goldendale 45.7715811208
Green River 41.2966901820
Kemmerer 41.8236623602
La Plata A 37.1467743086
La Plata B 37.1467543060
Lava Hot Springs 42.6297684069
Little Valley 42.7727154031
McMinnville 45.0159792261
Meacham 45.4907228417
Mesa 46.5031132558
Moab 38.3265071972
Mountain Home 43.0389194334
Mt. Vernon 48.4220207574
Muddy Creek 41.6936263947
Oregon City 45.3893793005
Owyhee 42.1618174814
Pegram 42.1238415384
Pleasant View 37.5716961848
Plymouth 45.9319105646
Pocatello 42.8164991578
Rangely 40.0471943963
Roosevelt 45.8483843993
Snohomish 47.7877398935
Soda Springs 42.5439770317
Stanfield (Retired) 45.8286438450
Sumas 49.0015339829
Sumner 47.2289290035
Tumwater 46.9563767706
Vernal 40.5682897948
Washougal 45.6319879886
Willard 45.7758196173
Winchester 43.3109052239
Zillah 46.4554077283
</t>
        </r>
        <r>
          <rPr>
            <sz val="9"/>
            <color indexed="81"/>
            <rFont val="Tahoma"/>
            <family val="2"/>
          </rPr>
          <t xml:space="preserve">
</t>
        </r>
      </text>
    </comment>
  </commentList>
</comments>
</file>

<file path=xl/comments2.xml><?xml version="1.0" encoding="utf-8"?>
<comments xmlns="http://schemas.openxmlformats.org/spreadsheetml/2006/main">
  <authors>
    <author>WILLIAMS COMPANIES, INC.</author>
  </authors>
  <commentList>
    <comment ref="B3" authorId="0">
      <text>
        <r>
          <rPr>
            <b/>
            <sz val="8"/>
            <color indexed="81"/>
            <rFont val="Tahoma"/>
            <family val="2"/>
          </rPr>
          <t>Albany 269 ft
Baker 3351 ft
Boise 3200 ft
Buhl 3345 ft
Burley 4269 ft
Caldwell 2497 ft
Chehalis 470 ft
Cisco 4400 ft
Eugene 655 ft
Goldendale 1712 ft
Green River 6224 ft
Kemmerer 6610 ft
La Plata B 6643 ft
Lava Hot Springs 4910 ft
Little Valley 2889 ft
McMinnville 185 ft
Meacham 3780 ft
Mesa 1050 ft
Moab 5873 ft
Mountain Home 3190 ft
Mount Vernon 150 ft
Muddy Creek 6855 ft
Oregon City 170 ft
Owyhee 5230 ft
Pegram 6070 ft
Pleasant View 7014 ft
Plymouth 304 ft
Pocatello 4655 ft
Rangely 5500 ft
Roosevelt 1220 ft
Snohomish 466 ft
Soda Springs 6135 ft
Sumas 35 ft
Sumner 456 ft
Tumwater 110 ft
Vernal 6008 ft
Washougal 530 ft
Willard 1280 ft
Winchester 600 ft
Zillah 1079 ft</t>
        </r>
        <r>
          <rPr>
            <b/>
            <sz val="9"/>
            <color indexed="81"/>
            <rFont val="Tahoma"/>
            <family val="2"/>
          </rPr>
          <t xml:space="preserve">
</t>
        </r>
      </text>
    </comment>
  </commentList>
</comments>
</file>

<file path=xl/comments3.xml><?xml version="1.0" encoding="utf-8"?>
<comments xmlns="http://schemas.openxmlformats.org/spreadsheetml/2006/main">
  <authors>
    <author>WILLIAMS COMPANIES, INC.</author>
  </authors>
  <commentList>
    <comment ref="G5" authorId="0">
      <text>
        <r>
          <rPr>
            <b/>
            <sz val="10"/>
            <color indexed="81"/>
            <rFont val="Tahoma"/>
            <family val="2"/>
          </rPr>
          <t>Molecular Weight from Periodic Table</t>
        </r>
      </text>
    </comment>
    <comment ref="L5" authorId="0">
      <text>
        <r>
          <rPr>
            <b/>
            <sz val="10"/>
            <color indexed="81"/>
            <rFont val="Tahoma"/>
            <family val="2"/>
          </rPr>
          <t>Molecular Weight from Periodic Table</t>
        </r>
      </text>
    </comment>
    <comment ref="Q5" authorId="0">
      <text>
        <r>
          <rPr>
            <b/>
            <sz val="10"/>
            <color indexed="81"/>
            <rFont val="Tahoma"/>
            <family val="2"/>
          </rPr>
          <t>Molecular Weight from Periodic Table</t>
        </r>
      </text>
    </comment>
    <comment ref="V5" authorId="0">
      <text>
        <r>
          <rPr>
            <b/>
            <sz val="10"/>
            <color indexed="81"/>
            <rFont val="Tahoma"/>
            <family val="2"/>
          </rPr>
          <t>Molecular Weight from Periodic Table</t>
        </r>
      </text>
    </comment>
    <comment ref="AA5" authorId="0">
      <text>
        <r>
          <rPr>
            <b/>
            <sz val="10"/>
            <color indexed="81"/>
            <rFont val="Tahoma"/>
            <family val="2"/>
          </rPr>
          <t>Molecular Weight from Periodic Table</t>
        </r>
      </text>
    </comment>
    <comment ref="AF5" authorId="0">
      <text>
        <r>
          <rPr>
            <b/>
            <sz val="10"/>
            <color indexed="81"/>
            <rFont val="Tahoma"/>
            <family val="2"/>
          </rPr>
          <t>Molecular Weight from Periodic Table</t>
        </r>
      </text>
    </comment>
    <comment ref="AK5" authorId="0">
      <text>
        <r>
          <rPr>
            <b/>
            <sz val="10"/>
            <color indexed="81"/>
            <rFont val="Tahoma"/>
            <family val="2"/>
          </rPr>
          <t>Molecular Weight from Periodic Table</t>
        </r>
      </text>
    </comment>
    <comment ref="AR31" authorId="0">
      <text>
        <r>
          <rPr>
            <b/>
            <sz val="8"/>
            <color indexed="81"/>
            <rFont val="Tahoma"/>
            <family val="2"/>
          </rPr>
          <t xml:space="preserve">Albany 269 ft
Baker 3351 ft
Boise 3200 ft
Buhl 3345 ft
Burley 4269 ft
Caldwell 2497 ft
Chehalis 470 ft
Cisco 4400 ft
Eugene 655 ft
Goldendale 1712 ft
Green River 6224 ft
Kemmerer 6610 ft
La Plata B 6643 ft
Lava Hot Springs 4910 ft
Little Valley 2889 ft
McMinnville 185 ft
Meacham 3780 ft
Mesa 1050 ft
Moab 5873 ft
Mountain Home 3190 ft
Mount Vernon 150 ft
Muddy Creek 6855 ft
Oregon City 170 ft
Owyhee 5230 ft
Pegram 6070 ft
Pleasant View 7014 ft
Plymouth 304 ft
Pocatello 4655 ft
Rangely 5500 ft
Roosevelt 1220 ft
Snohomish 466 ft
Soda Springs 6135 ft
Sumas 35 ft
Sumner 456 ft
Tumwater 110 ft
Vernal 6008 ft
Washougal 530 ft
Willard 1280 ft
Winchester 600 ft
Zillah 1079 ft
</t>
        </r>
      </text>
    </comment>
    <comment ref="AR39" authorId="0">
      <text>
        <r>
          <rPr>
            <b/>
            <sz val="10"/>
            <color indexed="81"/>
            <rFont val="Tahoma"/>
            <family val="2"/>
          </rPr>
          <t>Nominal Inside Diameter
1.687
1.939
2.067
2.300
2.624
2.900
3.068
3.152
3.438
3.826
4.026
4.897
5.187
5.761
6.065
7.625
7.981
8.071
9.562
10.020
10.136
11.374
11.938
12.090
14.688
15.000
15.250
18.812
19.000
19.250
22.624
23.000
23.250
28.750
29.000
29.250</t>
        </r>
        <r>
          <rPr>
            <b/>
            <sz val="8"/>
            <color indexed="81"/>
            <rFont val="Tahoma"/>
            <family val="2"/>
          </rPr>
          <t xml:space="preserve">
</t>
        </r>
      </text>
    </comment>
    <comment ref="AR40" authorId="0">
      <text>
        <r>
          <rPr>
            <b/>
            <sz val="10"/>
            <color indexed="81"/>
            <rFont val="Tahoma"/>
            <family val="2"/>
          </rPr>
          <t>Orifice Diameter
0.250
0.375
0.500
0.625
0.750
0.875
1.000
1.125
1.250
1.375
1.500
1.625
1.750
1.875
2.000
2.250
2.375
2.500
2.750
2.875
3.000
3.250
3.500
3.625
2.750
4.000
4.250
4.500
4.625
4.750
5.000</t>
        </r>
        <r>
          <rPr>
            <b/>
            <sz val="8"/>
            <color indexed="81"/>
            <rFont val="Tahoma"/>
            <family val="2"/>
          </rPr>
          <t xml:space="preserve">
</t>
        </r>
        <r>
          <rPr>
            <sz val="8"/>
            <color indexed="81"/>
            <rFont val="Tahoma"/>
            <family val="2"/>
          </rPr>
          <t xml:space="preserve">
</t>
        </r>
      </text>
    </comment>
    <comment ref="AR63" authorId="0">
      <text>
        <r>
          <rPr>
            <b/>
            <sz val="8"/>
            <color indexed="81"/>
            <rFont val="Tahoma"/>
            <family val="2"/>
          </rPr>
          <t>Interpolated Value from Table</t>
        </r>
      </text>
    </comment>
  </commentList>
</comments>
</file>

<file path=xl/sharedStrings.xml><?xml version="1.0" encoding="utf-8"?>
<sst xmlns="http://schemas.openxmlformats.org/spreadsheetml/2006/main" count="1146" uniqueCount="452">
  <si>
    <t>Zact/Zbase</t>
  </si>
  <si>
    <t>P</t>
  </si>
  <si>
    <t>Pressure (psig)</t>
  </si>
  <si>
    <t>Zact</t>
  </si>
  <si>
    <t>Data computed from Equation for z Ratio originally found in the O&amp;M Manual</t>
  </si>
  <si>
    <t>Data collected from GPSA Chart for Compressibility for some temperatures, and interpolated for others</t>
  </si>
  <si>
    <t>y = -3E-06x3 + 0.0002x2 - 0.0063x + 1.0073</t>
  </si>
  <si>
    <t>y = -1E-06x3 + 5E-05x2 - 0.0067x + 1.0047</t>
  </si>
  <si>
    <t>y = 2E-06x3 - 6E-05x2 - 0.0068x + 1.0037</t>
  </si>
  <si>
    <t>y = 2E-06x3 - 6E-05x2 - 0.0081x + 1.0029</t>
  </si>
  <si>
    <t>y = 3E-06x3 - 0.0001x2 - 0.0088x + 1.0033</t>
  </si>
  <si>
    <t>y = 1E-06x3 - 7E-05x2 - 0.0124x + 1.0071</t>
  </si>
  <si>
    <t>Temperatures</t>
  </si>
  <si>
    <t>y = -2E-06x3 + 0.0001x2 - 0.0065x + 1.006</t>
  </si>
  <si>
    <t xml:space="preserve">T = </t>
  </si>
  <si>
    <t>y = -3E-06x3 + 0.0001x2 - 0.0064x + 1.0071</t>
  </si>
  <si>
    <t>y = -3E-06x3 + 0.0001x2 - 0.0064x + 1.0068</t>
  </si>
  <si>
    <t>y = -3E-06x3 + 0.0001x2 - 0.0064x + 1.0065</t>
  </si>
  <si>
    <t>y = -3E-06x3 + 0.0001x2 - 0.0065x + 1.0063</t>
  </si>
  <si>
    <t>y = -2E-06x3 + 9E-05x2 - 0.0065x + 1.0058</t>
  </si>
  <si>
    <t>y = -2E-06x3 + 8E-05x2 - 0.0066x + 1.0055</t>
  </si>
  <si>
    <t>y = -2E-06x3 + 7E-05x2 - 0.0066x + 1.0052</t>
  </si>
  <si>
    <t>y = -1E-06x3 + 6E-05x2 - 0.0067x + 1.005</t>
  </si>
  <si>
    <t>y = -5E-07x3 + 2E-05x2 - 0.0067x + 1.0045</t>
  </si>
  <si>
    <t>y = -2E-08x3 + 3E-06x2 - 0.0067x + 1.0043</t>
  </si>
  <si>
    <t>y = 5E-07x3 - 2E-05x2 - 0.0067x + 1.0041</t>
  </si>
  <si>
    <t>y = 1E-06x3 - 4E-05x2 - 0.0067x + 1.0039</t>
  </si>
  <si>
    <t>y = 2E-06x3 - 6E-05x2 - 0.007x + 1.0036</t>
  </si>
  <si>
    <t>y = 2E-06x3 - 6E-05x2 - 0.0073x + 1.0034</t>
  </si>
  <si>
    <t>y = 2E-06x3 - 6E-05x2 - 0.0076x + 1.0032</t>
  </si>
  <si>
    <t>y = 2E-06x3 - 6E-05x2 - 0.0079x + 1.003</t>
  </si>
  <si>
    <t>y = 2E-06x3 - 8E-05x2 - 0.0083x + 1.003</t>
  </si>
  <si>
    <t>y = 2E-06x3 - 9E-05x2 - 0.0084x + 1.0031</t>
  </si>
  <si>
    <t>y = 3E-06x3 - 0.0001x2 - 0.0085x + 1.0031</t>
  </si>
  <si>
    <t>y = 3E-06x3 - 0.0001x2 - 0.0087x + 1.0032</t>
  </si>
  <si>
    <t>y = 3E-06x3 - 0.0001x2 - 0.0095x + 1.0041</t>
  </si>
  <si>
    <t>y = 3E-06x3 - 0.0001x2 - 0.0102x + 1.0048</t>
  </si>
  <si>
    <t>y = 2E-06x3 - 1E-04x2 - 0.011x + 1.0056</t>
  </si>
  <si>
    <t>y = 2E-06x3 - 8E-05x2 - 0.0117x + 1.0063</t>
  </si>
  <si>
    <t>Data for Natural gas with a MW = 17.40 (Specific Gravity = 0.6)</t>
  </si>
  <si>
    <t>y = 2E-06x3 - 6E-05x2 - 0.0026x + 1.0027</t>
  </si>
  <si>
    <t>y = 1E-06x3 - 4E-05x2 - 0.0037x + 1.0035</t>
  </si>
  <si>
    <t>y = 8E-07x3 - 9E-06x2 - 0.0049x + 1.0043</t>
  </si>
  <si>
    <t>y = 1E-06x3 - 1E-05x2 - 0.0059x + 1.005</t>
  </si>
  <si>
    <t>y = 2E-06x3 - 6E-05x2 - 0.0068x + 1.0071</t>
  </si>
  <si>
    <t>y = 3E-06x3 - 1E-04x2 - 0.0075x + 1.008</t>
  </si>
  <si>
    <t>y = 2E-07x3 + 3E-05x2 - 0.0108x + 1.0135</t>
  </si>
  <si>
    <t>y = 8E-07x3 + 6E-06x2 - 0.0102x + 1.0124</t>
  </si>
  <si>
    <t>y = 1E-06x3 - 2E-05x2 - 0.0095x + 1.0113</t>
  </si>
  <si>
    <t>y = 2E-06x3 - 5E-05x2 - 0.0088x + 1.0102</t>
  </si>
  <si>
    <t>y = 3E-06x3 - 7E-05x2 - 0.0082x + 1.0091</t>
  </si>
  <si>
    <t>y = 3E-06x3 - 9E-05x2 - 0.0073x + 1.0078</t>
  </si>
  <si>
    <t>y = 3E-06x3 - 8E-05x2 - 0.0072x + 1.0076</t>
  </si>
  <si>
    <t>y = 3E-06x3 - 6E-05x2 - 0.0069x + 1.0073</t>
  </si>
  <si>
    <t>y = 3E-06x3 - 7E-05x2 - 0.0071x + 1.0074</t>
  </si>
  <si>
    <t>y = 2E-06x3 - 5E-05x2 - 0.0066x + 1.0066</t>
  </si>
  <si>
    <t>y = 2E-06x3 - 4E-05x2 - 0.0064x + 1.0062</t>
  </si>
  <si>
    <t>y = 2E-06x3 - 3E-05x2 - 0.0062x + 1.0058</t>
  </si>
  <si>
    <t>y = 1E-06x3 - 2E-05x2 - 0.006x + 1.0054</t>
  </si>
  <si>
    <t>y = 1E-06x3 - 1E-05x2 - 0.0057x + 1.0049</t>
  </si>
  <si>
    <t>y = 1E-06x3 - 1E-05x2 - 0.0055x + 1.0047</t>
  </si>
  <si>
    <t>y = 9E-07x3 - 1E-05x2 - 0.0053x + 1.0046</t>
  </si>
  <si>
    <t>y = 9E-07x3 - 9E-06x2 - 0.0051x + 1.0045</t>
  </si>
  <si>
    <t>y = 9E-07x3 - 1E-05x2 - 0.0046x + 1.0042</t>
  </si>
  <si>
    <t>y = 1E-06x3 - 2E-05x2 - 0.0044x + 1.004</t>
  </si>
  <si>
    <t>y = 1E-06x3 - 2E-05x2 - 0.0042x + 1.0039</t>
  </si>
  <si>
    <t>y = 1E-06x3 - 3E-05x2 - 0.004x + 1.0037</t>
  </si>
  <si>
    <t>y = 2E-06x3 - 4E-05x2 - 0.0035x + 1.0034</t>
  </si>
  <si>
    <t>y = 2E-06x3 - 5E-05x2 - 0.0033x + 1.0032</t>
  </si>
  <si>
    <t>y = 2E-06x3 - 5E-05x2 - 0.0031x + 1.003</t>
  </si>
  <si>
    <t>y = 2E-06x3 - 6E-05x2 - 0.0028x + 1.0029</t>
  </si>
  <si>
    <t>Data for Natural gas with a MW = 18.85 (Specific Gravity = 0.65)</t>
  </si>
  <si>
    <t>Data for Natural gas with a MW = 15.95 (Specific Gravity = 0.55)</t>
  </si>
  <si>
    <t>y = -2E-06x3 + 0.0001x2 - 0.0069x + 1.0058</t>
  </si>
  <si>
    <t>y = -1E-06x3 + 9E-05x2 - 0.0078x + 1.005</t>
  </si>
  <si>
    <t>y = -1E-06x3 + 7E-05x2 - 0.0086x + 1.0043</t>
  </si>
  <si>
    <t>y = 6E-07x3 - 1E-05x2 - 0.0091x + 1.0051</t>
  </si>
  <si>
    <t>y = 2E-06x3 - 0.0001x2 - 0.0092x + 1.0045</t>
  </si>
  <si>
    <t>y = 3E-07x3 + 1E-05x2 - 0.0134x + 1.008</t>
  </si>
  <si>
    <t>y = -6E-06x3 + 0.0002x2 - 0.0191x + 1.0089</t>
  </si>
  <si>
    <t>y = -5E-06x3 + 0.0001x2 - 0.018x + 1.0087</t>
  </si>
  <si>
    <t>y = -3E-06x3 + 0.0001x2 - 0.0168x + 1.0086</t>
  </si>
  <si>
    <t>y = -2E-06x3 + 8E-05x2 - 0.0157x + 1.0084</t>
  </si>
  <si>
    <t>y = -9E-07x3 + 4E-05x2 - 0.0145x + 1.0082</t>
  </si>
  <si>
    <t>y = 7E-07x3 - 1E-05x2 - 0.0125x + 1.0073</t>
  </si>
  <si>
    <t>y = 1E-06x3 - 3E-05x2 - 0.0117x + 1.0066</t>
  </si>
  <si>
    <t>y = 1E-06x3 - 6E-05x2 - 0.0109x + 1.0059</t>
  </si>
  <si>
    <t>y = 2E-06x3 - 8E-05x2 - 0.01x + 1.0052</t>
  </si>
  <si>
    <t>y = 2E-06x3 - 8E-05x2 - 0.0092x + 1.0046</t>
  </si>
  <si>
    <t>y = 2E-06x3 - 7E-05x2 - 0.0091x + 1.0047</t>
  </si>
  <si>
    <t>y = 9E-07x3 - 3E-05x2 - 0.0091x + 1.005</t>
  </si>
  <si>
    <t>y = 1E-06x3 - 5E-05x2 - 0.0091x + 1.0049</t>
  </si>
  <si>
    <t>y = 3E-07x3 + 2E-06x2 - 0.009x + 1.005</t>
  </si>
  <si>
    <t>y = -5E-09x3 + 2E-05x2 - 0.0089x + 1.0048</t>
  </si>
  <si>
    <t>y = -3E-07x3 + 3E-05x2 - 0.0088x + 1.0046</t>
  </si>
  <si>
    <t>y = -6E-07x3 + 5E-05x2 - 0.0087x + 1.0045</t>
  </si>
  <si>
    <t>y = -1E-06x3 + 7E-05x2 - 0.0084x + 1.0045</t>
  </si>
  <si>
    <t>y = -1E-06x3 + 8E-05x2 - 0.0081x + 1.0047</t>
  </si>
  <si>
    <t>y = -1E-06x3 + 8E-05x2 - 0.0083x + 1.0046</t>
  </si>
  <si>
    <t>y = -1E-06x3 + 9E-05x2 - 0.0079x + 1.0049</t>
  </si>
  <si>
    <t>y = -2E-06x3 + 9E-05x2 - 0.0076x + 1.0052</t>
  </si>
  <si>
    <t>y = -2E-06x3 + 1E-04x2 - 0.0074x + 1.0053</t>
  </si>
  <si>
    <t>y = -2E-06x3 + 0.0001x2 - 0.0073x + 1.0055</t>
  </si>
  <si>
    <t>y = -2E-06x3 + 0.0001x2 - 0.0071x + 1.0056</t>
  </si>
  <si>
    <t>Molecular Weight</t>
  </si>
  <si>
    <t>Methane</t>
  </si>
  <si>
    <t>Ethane</t>
  </si>
  <si>
    <t>Propane</t>
  </si>
  <si>
    <t>N2</t>
  </si>
  <si>
    <t>CO2</t>
  </si>
  <si>
    <t>Calculate the compressibility of the gas based on the composition, temperature and pressure</t>
  </si>
  <si>
    <t>Make sure you filled out the information on the Gas Composition Tab</t>
  </si>
  <si>
    <t>What was known from the Gas Composition Sheet (MW or Sp Gr)?</t>
  </si>
  <si>
    <t>What was the known value?</t>
  </si>
  <si>
    <t>Note: This sheet is only valid for gas with a molecular weight of 15.95 to 18.85 (Specific Gravity of 0.55 to 0.65).  It uses data collected from the GPSA Manual on compressibility for three known molecular weights, and uses a linear interpolation to calculate the values between constant temperature lines and different molecular weights</t>
  </si>
  <si>
    <t>What is the pressure of the gas?</t>
  </si>
  <si>
    <t>psig</t>
  </si>
  <si>
    <t>MW = 15.95           Sp Gr = 0.55</t>
  </si>
  <si>
    <t>MW = 17.40           Sp Gr = 0.60</t>
  </si>
  <si>
    <t>MW = 18.85               Sp Gr = 0.65</t>
  </si>
  <si>
    <t xml:space="preserve">Z = </t>
  </si>
  <si>
    <t>At that pressure, here are the values of compressibility the different temperature readings for the three graphs</t>
  </si>
  <si>
    <t>What is the Temperature of the gas?</t>
  </si>
  <si>
    <t>At that pressure and temperature, here are the values of compressibility for the three graphs</t>
  </si>
  <si>
    <t>° F</t>
  </si>
  <si>
    <t>Interpolation Points:</t>
  </si>
  <si>
    <t>X1</t>
  </si>
  <si>
    <t>X2</t>
  </si>
  <si>
    <t>Y1</t>
  </si>
  <si>
    <t>Y3</t>
  </si>
  <si>
    <t>X3</t>
  </si>
  <si>
    <t>Finally, at the given temperature, pressure and gas composition, here is the interpolated compressibility</t>
  </si>
  <si>
    <t>Y2</t>
  </si>
  <si>
    <t>F</t>
  </si>
  <si>
    <t>C1H4</t>
  </si>
  <si>
    <t>C =</t>
  </si>
  <si>
    <t>H =</t>
  </si>
  <si>
    <t>O =</t>
  </si>
  <si>
    <t>S =</t>
  </si>
  <si>
    <t>N =</t>
  </si>
  <si>
    <t>He =</t>
  </si>
  <si>
    <t>Ar =</t>
  </si>
  <si>
    <t>C2H6</t>
  </si>
  <si>
    <t>C3H8</t>
  </si>
  <si>
    <t>IsoButane</t>
  </si>
  <si>
    <t>iC4H10</t>
  </si>
  <si>
    <t>n-Butane</t>
  </si>
  <si>
    <t>nC4H10</t>
  </si>
  <si>
    <t>IsoPentane</t>
  </si>
  <si>
    <t>iC5H12</t>
  </si>
  <si>
    <t>n-Pentane</t>
  </si>
  <si>
    <t>nC5H12</t>
  </si>
  <si>
    <t>n-Hexane</t>
  </si>
  <si>
    <t>C6H14</t>
  </si>
  <si>
    <t>n-Heptane</t>
  </si>
  <si>
    <t>C7H16</t>
  </si>
  <si>
    <t>n-Octane</t>
  </si>
  <si>
    <t>C8H18</t>
  </si>
  <si>
    <t>n-Nonane</t>
  </si>
  <si>
    <t>C9H20</t>
  </si>
  <si>
    <t>n-Decane</t>
  </si>
  <si>
    <t>C10H22</t>
  </si>
  <si>
    <t>Hydrogen</t>
  </si>
  <si>
    <t>H2</t>
  </si>
  <si>
    <t>Helium</t>
  </si>
  <si>
    <t>He</t>
  </si>
  <si>
    <t>Water</t>
  </si>
  <si>
    <t>H2O</t>
  </si>
  <si>
    <t>Carbon Monoxide</t>
  </si>
  <si>
    <t>CO</t>
  </si>
  <si>
    <t>Nitrogen</t>
  </si>
  <si>
    <t>Oxygen</t>
  </si>
  <si>
    <t>O2</t>
  </si>
  <si>
    <t>Hydrogen Sulfide</t>
  </si>
  <si>
    <t>H2S</t>
  </si>
  <si>
    <t>Argon</t>
  </si>
  <si>
    <t>Ar</t>
  </si>
  <si>
    <t>Carbon Dioxide</t>
  </si>
  <si>
    <t>lbm</t>
  </si>
  <si>
    <t>Moles</t>
  </si>
  <si>
    <t>Mass</t>
  </si>
  <si>
    <t>Compressibility of the Gas - Z</t>
  </si>
  <si>
    <t>Password:  none</t>
  </si>
  <si>
    <t>Formula</t>
  </si>
  <si>
    <t>X</t>
  </si>
  <si>
    <t>((226.29*T/(99.15+211.9*SG-CO-1.681*N)-460)+460)/500</t>
  </si>
  <si>
    <t>Z</t>
  </si>
  <si>
    <t>((156.47*(P-Patm))/(160.8-7.22*SG+CO-0.392*N)+14.7)/1000</t>
  </si>
  <si>
    <t>Y</t>
  </si>
  <si>
    <t>0.0330378/X^2-0.0221323/X^3+0.0161353/X^5</t>
  </si>
  <si>
    <t>D</t>
  </si>
  <si>
    <t>(0.265827/X^2+0.0457697/X^4-0.133185/X)/Y</t>
  </si>
  <si>
    <t>G</t>
  </si>
  <si>
    <t>1-0.00075*Z^2.3*(2-2.71828^(-20*(1.09-X)))</t>
  </si>
  <si>
    <t>H</t>
  </si>
  <si>
    <t>(1.317*(1.09-X)^4)*Z</t>
  </si>
  <si>
    <t>B</t>
  </si>
  <si>
    <t>G-(1.317*(1.09-X)^4*Z)*(1.69-Z^2)-H*(1.69-Z^2)</t>
  </si>
  <si>
    <t>A</t>
  </si>
  <si>
    <t>9*D-2*Y*D^3</t>
  </si>
  <si>
    <t>J</t>
  </si>
  <si>
    <t>A/(54*Y*Z^3)-B/(2*Y*Z^2)</t>
  </si>
  <si>
    <t>K</t>
  </si>
  <si>
    <t>(3-Y*D^2)/(9*Y*Z^2)</t>
  </si>
  <si>
    <t>(J+(J^2+K^3)^0.5)^(1/3)</t>
  </si>
  <si>
    <t>L</t>
  </si>
  <si>
    <t>(0.00132/X^3.25+1)^2</t>
  </si>
  <si>
    <t>L/(((3-Y*D^2)/(9*Y*Z^2))/F-F+D/(3*Z))</t>
  </si>
  <si>
    <t xml:space="preserve">Specific Gravity </t>
  </si>
  <si>
    <t xml:space="preserve">Mole % CO2 </t>
  </si>
  <si>
    <t xml:space="preserve">Mole % N2 </t>
  </si>
  <si>
    <t>%</t>
  </si>
  <si>
    <t>Pressure</t>
  </si>
  <si>
    <t>Elevation</t>
  </si>
  <si>
    <t>psia</t>
  </si>
  <si>
    <t>ft</t>
  </si>
  <si>
    <t>psi atm</t>
  </si>
  <si>
    <t>Temperature</t>
  </si>
  <si>
    <t>°F</t>
  </si>
  <si>
    <t>°R</t>
  </si>
  <si>
    <t xml:space="preserve">Atmospheric Pressure </t>
  </si>
  <si>
    <t>which is</t>
  </si>
  <si>
    <t>SG</t>
  </si>
  <si>
    <t>Z Calculation Found in Williams PLC Code</t>
  </si>
  <si>
    <t>C</t>
  </si>
  <si>
    <t>MWc</t>
  </si>
  <si>
    <t>MWh</t>
  </si>
  <si>
    <t>O</t>
  </si>
  <si>
    <t>MWo</t>
  </si>
  <si>
    <t>S</t>
  </si>
  <si>
    <t>MWs</t>
  </si>
  <si>
    <t>N</t>
  </si>
  <si>
    <t>MWn</t>
  </si>
  <si>
    <t>MWhe</t>
  </si>
  <si>
    <t>MWar</t>
  </si>
  <si>
    <t>lbm/lbmol</t>
  </si>
  <si>
    <t>%mole</t>
  </si>
  <si>
    <t>Elevation:</t>
  </si>
  <si>
    <t>Atmospheric Pressure:</t>
  </si>
  <si>
    <t>Pressure of the Gas:</t>
  </si>
  <si>
    <t>psi</t>
  </si>
  <si>
    <t>which is:</t>
  </si>
  <si>
    <t>Temperature of the Gas:</t>
  </si>
  <si>
    <t>Compressibility of the Gas:</t>
  </si>
  <si>
    <t>Chromatograph Gas Composition</t>
  </si>
  <si>
    <t>Interpolated From Tables</t>
  </si>
  <si>
    <t>Calculated Value</t>
  </si>
  <si>
    <t>Orifice Calculator</t>
  </si>
  <si>
    <t>Pipe Internal Diameter:</t>
  </si>
  <si>
    <t>inches</t>
  </si>
  <si>
    <t>Orifice Diameter:</t>
  </si>
  <si>
    <t>Specific Gravity of the Gas:</t>
  </si>
  <si>
    <t>Tf =</t>
  </si>
  <si>
    <t>Pb =</t>
  </si>
  <si>
    <t>Tb =</t>
  </si>
  <si>
    <t>Fb =</t>
  </si>
  <si>
    <t>Base Pressure (Sea Level Pressure):</t>
  </si>
  <si>
    <t>Base Temperature (60 F):</t>
  </si>
  <si>
    <t>P =</t>
  </si>
  <si>
    <t>hw =</t>
  </si>
  <si>
    <t>Orifice Differential Pressure (dp):</t>
  </si>
  <si>
    <t>inches H20</t>
  </si>
  <si>
    <t>Fpb =</t>
  </si>
  <si>
    <t>Flowing Temperature Factor:</t>
  </si>
  <si>
    <t>Base Pressure Factor:</t>
  </si>
  <si>
    <t>Ftf =</t>
  </si>
  <si>
    <t>Supercompressibility Factor:</t>
  </si>
  <si>
    <t>Fpv =</t>
  </si>
  <si>
    <t>Specific Gravity Factor:</t>
  </si>
  <si>
    <t>Fg =</t>
  </si>
  <si>
    <t>Reynolds Number Factor:</t>
  </si>
  <si>
    <t>Fr =</t>
  </si>
  <si>
    <t>b =</t>
  </si>
  <si>
    <t>Y =</t>
  </si>
  <si>
    <t>Beta Ratio:</t>
  </si>
  <si>
    <t>B =</t>
  </si>
  <si>
    <t>Base Temperature Factor:</t>
  </si>
  <si>
    <t>Ftb =</t>
  </si>
  <si>
    <t>Orifice Thermal Expansion Factor:</t>
  </si>
  <si>
    <t>Fa =</t>
  </si>
  <si>
    <t>Tmeas =</t>
  </si>
  <si>
    <t>C Prime:</t>
  </si>
  <si>
    <t>C' =</t>
  </si>
  <si>
    <t>Flow Rate:</t>
  </si>
  <si>
    <t>Q =</t>
  </si>
  <si>
    <t>E =</t>
  </si>
  <si>
    <t>Orifice Calculations</t>
  </si>
  <si>
    <t>lbm ( MW )</t>
  </si>
  <si>
    <t>Molecular Weight of the Gas:</t>
  </si>
  <si>
    <t>Temperature of Steel on the Orifice (for expansion):</t>
  </si>
  <si>
    <t>psid</t>
  </si>
  <si>
    <t>SCFH</t>
  </si>
  <si>
    <t>Fb Table</t>
  </si>
  <si>
    <t>b table</t>
  </si>
  <si>
    <t>API Manual of Petroleum Measurement Standards</t>
  </si>
  <si>
    <t>AGA Report No. 3 - Orifice Metering of Natural Gas</t>
  </si>
  <si>
    <t>GPSA Engineering DataBook FPS Version Volume I</t>
  </si>
  <si>
    <t>hw/Pf2</t>
  </si>
  <si>
    <t>B=d/D</t>
  </si>
  <si>
    <t>hw/Pf2 =</t>
  </si>
  <si>
    <t>B Column #</t>
  </si>
  <si>
    <t>hw/Pf2 Row #</t>
  </si>
  <si>
    <t xml:space="preserve">B Lookup </t>
  </si>
  <si>
    <t>hw/Pf2 Lookup</t>
  </si>
  <si>
    <t>B1 interpolated</t>
  </si>
  <si>
    <t>Y1 interpolated</t>
  </si>
  <si>
    <t>Interpolation Formula for Y Table</t>
  </si>
  <si>
    <t>MSCFD</t>
  </si>
  <si>
    <t>Patm =</t>
  </si>
  <si>
    <t>d =</t>
  </si>
  <si>
    <t>D =</t>
  </si>
  <si>
    <t>Pf =</t>
  </si>
  <si>
    <t xml:space="preserve">  Measurement Section 3, pgs. 3-1 through 3-17</t>
  </si>
  <si>
    <t>Basic Orifice Factor ( Fb Table, Figure 3-16 ):</t>
  </si>
  <si>
    <t>b Factor ( b Table, Figure 3-17 )</t>
  </si>
  <si>
    <t>Password:  697</t>
  </si>
  <si>
    <t>Density Expansion Factor ( Y Table Interpolated ):</t>
  </si>
  <si>
    <t>Figure 3-16</t>
  </si>
  <si>
    <t>Figure 3-17</t>
  </si>
  <si>
    <t>Figure 3-15</t>
  </si>
  <si>
    <t>GPSA Engineering DataBook FPS Version Volume I, Measurement Section 3, pgs. 3-1 through 3-17</t>
  </si>
  <si>
    <t>Fb Table, Basic Orifice Factor</t>
  </si>
  <si>
    <t>Y Table, Y Expansion Factors - Flange Taps, Y (static downstream)</t>
  </si>
  <si>
    <t>b Table, b Factor</t>
  </si>
  <si>
    <t>Gage Location Factor:</t>
  </si>
  <si>
    <t>Fl =</t>
  </si>
  <si>
    <t>Lat =</t>
  </si>
  <si>
    <t>Degrees</t>
  </si>
  <si>
    <t>Gage Location Latitude (If Unknown Put In 49):</t>
  </si>
  <si>
    <t>Zb =</t>
  </si>
  <si>
    <t>E Factor in Fb Formula:</t>
  </si>
  <si>
    <t>B Factor in Fb Formula:</t>
  </si>
  <si>
    <t>Ke =</t>
  </si>
  <si>
    <t>Coefficient of Discharge when Re = infinity:</t>
  </si>
  <si>
    <t>Ko =</t>
  </si>
  <si>
    <t>Zf =</t>
  </si>
  <si>
    <t>Ke1 =</t>
  </si>
  <si>
    <t>Ke2 =</t>
  </si>
  <si>
    <t>Ke3 =</t>
  </si>
  <si>
    <t>Ke4 =</t>
  </si>
  <si>
    <t>Ke5 =</t>
  </si>
  <si>
    <t>Ke7 =</t>
  </si>
  <si>
    <t>Ke8 =</t>
  </si>
  <si>
    <t>Ke10 =</t>
  </si>
  <si>
    <t>Ke12 =</t>
  </si>
  <si>
    <t>Ke13 =</t>
  </si>
  <si>
    <t>Ke14 =</t>
  </si>
  <si>
    <t>Check</t>
  </si>
  <si>
    <t>Ke12-2 =</t>
  </si>
  <si>
    <t>Ke13-2 =</t>
  </si>
  <si>
    <t>K' Factor for Fr:</t>
  </si>
  <si>
    <t>Reynolds Number:</t>
  </si>
  <si>
    <t>Re =</t>
  </si>
  <si>
    <t>x =</t>
  </si>
  <si>
    <t>k =</t>
  </si>
  <si>
    <t>Flange</t>
  </si>
  <si>
    <t>Elev =</t>
  </si>
  <si>
    <t>Z =</t>
  </si>
  <si>
    <t>Basic Orifice Factor:</t>
  </si>
  <si>
    <t>Density Expansion Factor Y:</t>
  </si>
  <si>
    <t>K' =</t>
  </si>
  <si>
    <t>Up or Down</t>
  </si>
  <si>
    <t>Flange or Pipe</t>
  </si>
  <si>
    <t>Y1 =</t>
  </si>
  <si>
    <t>Density Expansion Factor Y1: (Flange &amp; Upstream)</t>
  </si>
  <si>
    <t>Y2 =</t>
  </si>
  <si>
    <t>Density Expansion Factor Y3: (Pipe &amp; Upstream)</t>
  </si>
  <si>
    <t>Y3 =</t>
  </si>
  <si>
    <t>Density Expansion Factor Y4: (Pipe &amp; Downstream)</t>
  </si>
  <si>
    <t>Y4 =</t>
  </si>
  <si>
    <t>Density Expansion Factor Y2: (Flange &amp; Downstream)</t>
  </si>
  <si>
    <t>Base Compressibilty of Air (0.997 to 1.000):</t>
  </si>
  <si>
    <t>Coefficient of Discharge Ke:</t>
  </si>
  <si>
    <t>Coefficient of Discharge for Flange Taps:</t>
  </si>
  <si>
    <t>Coefficient of Discharge for Pipe Taps:</t>
  </si>
  <si>
    <t>Qm =</t>
  </si>
  <si>
    <t>Flow Rate (Volumetric):</t>
  </si>
  <si>
    <t>Flow Rate (Mass):</t>
  </si>
  <si>
    <t>Density of Gas:</t>
  </si>
  <si>
    <t>p =</t>
  </si>
  <si>
    <t>R =</t>
  </si>
  <si>
    <t>psia-ft^3/lbmol-R</t>
  </si>
  <si>
    <t>lbm/ft^3</t>
  </si>
  <si>
    <t>lbm/hr</t>
  </si>
  <si>
    <t>lbm/Day</t>
  </si>
  <si>
    <t>Qv =</t>
  </si>
  <si>
    <t>Flange Taps or Pipe Taps Used? (Flange are most common):</t>
  </si>
  <si>
    <t>Upstream or Downstream Static Pressure Guage:</t>
  </si>
  <si>
    <t>Universal Gas Constant:</t>
  </si>
  <si>
    <t>Page 23-2 GPSA</t>
  </si>
  <si>
    <t>Ratio of</t>
  </si>
  <si>
    <t xml:space="preserve">Critical </t>
  </si>
  <si>
    <t>Specific Heat</t>
  </si>
  <si>
    <t>Specific Heat %</t>
  </si>
  <si>
    <t>Pressure %</t>
  </si>
  <si>
    <t>Temperature F</t>
  </si>
  <si>
    <t>Temperature R</t>
  </si>
  <si>
    <t>Temperature %</t>
  </si>
  <si>
    <t>Cp Btu/lbm-R</t>
  </si>
  <si>
    <t>Cv Btu/lbm-R</t>
  </si>
  <si>
    <t>k</t>
  </si>
  <si>
    <t>Ratio of Specific Heats:</t>
  </si>
  <si>
    <t>Critical Pressure of the Mixture:</t>
  </si>
  <si>
    <t>Critical Temperature of the Mixture:</t>
  </si>
  <si>
    <t>Down</t>
  </si>
  <si>
    <t>Qa =</t>
  </si>
  <si>
    <t>Flow Rate (Actual):</t>
  </si>
  <si>
    <t>MACFD</t>
  </si>
  <si>
    <t>ACFM</t>
  </si>
  <si>
    <t>Cp %</t>
  </si>
  <si>
    <t>Cv %</t>
  </si>
  <si>
    <t>Mole Total:</t>
  </si>
  <si>
    <t xml:space="preserve">Gross </t>
  </si>
  <si>
    <t>Heating Value</t>
  </si>
  <si>
    <t>btu/scf</t>
  </si>
  <si>
    <t>Ideal</t>
  </si>
  <si>
    <t>(Higher)</t>
  </si>
  <si>
    <t>(Lower)</t>
  </si>
  <si>
    <t xml:space="preserve">Higher Heating Value: </t>
  </si>
  <si>
    <t>Lower Heating Value:</t>
  </si>
  <si>
    <t>Lower Heating Value (Mass):</t>
  </si>
  <si>
    <t>HHV =</t>
  </si>
  <si>
    <t>LHV =</t>
  </si>
  <si>
    <t xml:space="preserve">Higher Heating Value (Mass): </t>
  </si>
  <si>
    <t>MW =</t>
  </si>
  <si>
    <t>SG =</t>
  </si>
  <si>
    <t>btu/lbm</t>
  </si>
  <si>
    <t xml:space="preserve">psi </t>
  </si>
  <si>
    <t>Pc =</t>
  </si>
  <si>
    <t>Tc =</t>
  </si>
  <si>
    <t>x Factor for Y:</t>
  </si>
  <si>
    <t>Density at Base Conditions (60 F and 14.732 psia):</t>
  </si>
  <si>
    <t>R</t>
  </si>
  <si>
    <t>C1H4 =</t>
  </si>
  <si>
    <t>C2H6 =</t>
  </si>
  <si>
    <t>C3H8 =</t>
  </si>
  <si>
    <t>iC4H10 =</t>
  </si>
  <si>
    <t>nC4H10 =</t>
  </si>
  <si>
    <t>iC5H12 =</t>
  </si>
  <si>
    <t>nC5H12 =</t>
  </si>
  <si>
    <t>C6H14 =</t>
  </si>
  <si>
    <t>C7H16 =</t>
  </si>
  <si>
    <t>C8H18 =</t>
  </si>
  <si>
    <t>C9H20 =</t>
  </si>
  <si>
    <t>C10H22 =</t>
  </si>
  <si>
    <t>H2 =</t>
  </si>
  <si>
    <t>H2O =</t>
  </si>
  <si>
    <t>CO =</t>
  </si>
  <si>
    <t>N2 =</t>
  </si>
  <si>
    <t>O2 =</t>
  </si>
  <si>
    <t>H2S =</t>
  </si>
  <si>
    <t>CO2 =</t>
  </si>
</sst>
</file>

<file path=xl/styles.xml><?xml version="1.0" encoding="utf-8"?>
<styleSheet xmlns="http://schemas.openxmlformats.org/spreadsheetml/2006/main">
  <numFmts count="8">
    <numFmt numFmtId="164" formatCode="0.000"/>
    <numFmt numFmtId="165" formatCode="0.0000"/>
    <numFmt numFmtId="166" formatCode="0.00000"/>
    <numFmt numFmtId="167" formatCode="0.000000"/>
    <numFmt numFmtId="168" formatCode="0.0"/>
    <numFmt numFmtId="169" formatCode="0.0000000"/>
    <numFmt numFmtId="170" formatCode="#,##0.0000"/>
    <numFmt numFmtId="171" formatCode="#,##0.00000"/>
  </numFmts>
  <fonts count="17">
    <font>
      <sz val="10"/>
      <name val="Arial"/>
    </font>
    <font>
      <sz val="8"/>
      <name val="Arial"/>
      <family val="2"/>
    </font>
    <font>
      <sz val="10"/>
      <name val="Arial"/>
      <family val="2"/>
    </font>
    <font>
      <b/>
      <sz val="12"/>
      <name val="Arial"/>
      <family val="2"/>
    </font>
    <font>
      <b/>
      <sz val="14"/>
      <name val="Arial"/>
      <family val="2"/>
    </font>
    <font>
      <b/>
      <sz val="10"/>
      <name val="Arial"/>
      <family val="2"/>
    </font>
    <font>
      <b/>
      <sz val="11"/>
      <name val="Arial"/>
      <family val="2"/>
    </font>
    <font>
      <b/>
      <sz val="16"/>
      <name val="Arial"/>
      <family val="2"/>
    </font>
    <font>
      <b/>
      <sz val="10"/>
      <color indexed="81"/>
      <name val="Tahoma"/>
      <family val="2"/>
    </font>
    <font>
      <sz val="10"/>
      <color indexed="12"/>
      <name val="Arial"/>
      <family val="2"/>
    </font>
    <font>
      <b/>
      <sz val="9"/>
      <color indexed="81"/>
      <name val="Tahoma"/>
      <family val="2"/>
    </font>
    <font>
      <b/>
      <sz val="8"/>
      <color indexed="81"/>
      <name val="Tahoma"/>
      <family val="2"/>
    </font>
    <font>
      <b/>
      <sz val="10"/>
      <color indexed="12"/>
      <name val="Arial"/>
      <family val="2"/>
    </font>
    <font>
      <sz val="8"/>
      <color indexed="81"/>
      <name val="Tahoma"/>
      <family val="2"/>
    </font>
    <font>
      <sz val="9"/>
      <name val="Arial"/>
      <family val="2"/>
    </font>
    <font>
      <sz val="9"/>
      <color indexed="81"/>
      <name val="Tahoma"/>
      <family val="2"/>
    </font>
    <font>
      <sz val="10"/>
      <color indexed="8"/>
      <name val="Arial"/>
      <family val="2"/>
    </font>
  </fonts>
  <fills count="12">
    <fill>
      <patternFill patternType="none"/>
    </fill>
    <fill>
      <patternFill patternType="gray125"/>
    </fill>
    <fill>
      <patternFill patternType="solid">
        <fgColor indexed="13"/>
        <bgColor indexed="64"/>
      </patternFill>
    </fill>
    <fill>
      <patternFill patternType="solid">
        <fgColor indexed="15"/>
        <bgColor indexed="64"/>
      </patternFill>
    </fill>
    <fill>
      <patternFill patternType="solid">
        <fgColor indexed="42"/>
        <bgColor indexed="64"/>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11"/>
        <bgColor indexed="64"/>
      </patternFill>
    </fill>
    <fill>
      <patternFill patternType="solid">
        <fgColor indexed="47"/>
        <bgColor indexed="64"/>
      </patternFill>
    </fill>
    <fill>
      <patternFill patternType="solid">
        <fgColor rgb="FFFFFF00"/>
        <bgColor indexed="64"/>
      </patternFill>
    </fill>
    <fill>
      <patternFill patternType="solid">
        <fgColor rgb="FF00CC0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s>
  <cellStyleXfs count="1">
    <xf numFmtId="0" fontId="0" fillId="0" borderId="0"/>
  </cellStyleXfs>
  <cellXfs count="220">
    <xf numFmtId="0" fontId="0" fillId="0" borderId="0" xfId="0"/>
    <xf numFmtId="0" fontId="0" fillId="2" borderId="1" xfId="0" applyFill="1" applyBorder="1"/>
    <xf numFmtId="0" fontId="0" fillId="0" borderId="1" xfId="0" applyBorder="1"/>
    <xf numFmtId="0" fontId="2" fillId="0" borderId="0" xfId="0" applyFont="1" applyBorder="1"/>
    <xf numFmtId="0" fontId="0" fillId="3" borderId="2" xfId="0" applyFill="1" applyBorder="1" applyAlignment="1"/>
    <xf numFmtId="0" fontId="0" fillId="3" borderId="1" xfId="0" applyFill="1" applyBorder="1"/>
    <xf numFmtId="0" fontId="0" fillId="0" borderId="0" xfId="0" applyFill="1" applyBorder="1"/>
    <xf numFmtId="0" fontId="0" fillId="3" borderId="3" xfId="0" applyFill="1" applyBorder="1"/>
    <xf numFmtId="0" fontId="0" fillId="3" borderId="4" xfId="0" applyFill="1" applyBorder="1"/>
    <xf numFmtId="0" fontId="0" fillId="4" borderId="1" xfId="0" applyFill="1" applyBorder="1"/>
    <xf numFmtId="0" fontId="0" fillId="4" borderId="5" xfId="0" applyFill="1" applyBorder="1" applyAlignment="1"/>
    <xf numFmtId="0" fontId="0" fillId="3" borderId="5" xfId="0" applyFill="1" applyBorder="1" applyAlignment="1"/>
    <xf numFmtId="0" fontId="0" fillId="5" borderId="1" xfId="0" applyFill="1" applyBorder="1"/>
    <xf numFmtId="0" fontId="2" fillId="0" borderId="0" xfId="0" applyFont="1" applyFill="1" applyBorder="1"/>
    <xf numFmtId="0" fontId="0" fillId="0" borderId="1" xfId="0" applyFill="1" applyBorder="1"/>
    <xf numFmtId="0" fontId="0" fillId="0" borderId="0" xfId="0" applyProtection="1"/>
    <xf numFmtId="0" fontId="0" fillId="0" borderId="0" xfId="0" applyFill="1" applyBorder="1" applyProtection="1"/>
    <xf numFmtId="0" fontId="2" fillId="0" borderId="0" xfId="0" applyFont="1" applyFill="1" applyBorder="1" applyProtection="1"/>
    <xf numFmtId="0" fontId="2" fillId="0" borderId="0" xfId="0" applyFont="1" applyBorder="1" applyProtection="1"/>
    <xf numFmtId="0" fontId="0" fillId="3" borderId="2" xfId="0" applyFill="1" applyBorder="1" applyAlignment="1" applyProtection="1"/>
    <xf numFmtId="0" fontId="0" fillId="4" borderId="5" xfId="0" applyFill="1" applyBorder="1" applyAlignment="1" applyProtection="1"/>
    <xf numFmtId="0" fontId="0" fillId="3" borderId="5" xfId="0" applyFill="1" applyBorder="1" applyAlignment="1" applyProtection="1"/>
    <xf numFmtId="0" fontId="0" fillId="2" borderId="1" xfId="0" applyFill="1" applyBorder="1" applyProtection="1"/>
    <xf numFmtId="0" fontId="0" fillId="3" borderId="3" xfId="0" applyFill="1" applyBorder="1" applyProtection="1"/>
    <xf numFmtId="0" fontId="0" fillId="4" borderId="1" xfId="0" applyFill="1" applyBorder="1" applyProtection="1"/>
    <xf numFmtId="0" fontId="0" fillId="3" borderId="4" xfId="0" applyFill="1" applyBorder="1" applyProtection="1"/>
    <xf numFmtId="0" fontId="0" fillId="3" borderId="1" xfId="0" applyFill="1" applyBorder="1" applyProtection="1"/>
    <xf numFmtId="0" fontId="0" fillId="5" borderId="1" xfId="0" applyFill="1" applyBorder="1" applyProtection="1"/>
    <xf numFmtId="0" fontId="0" fillId="0" borderId="1" xfId="0" applyBorder="1" applyProtection="1"/>
    <xf numFmtId="0" fontId="2" fillId="0" borderId="1" xfId="0" applyFont="1" applyBorder="1" applyProtection="1"/>
    <xf numFmtId="0" fontId="2" fillId="0" borderId="0" xfId="0" applyFont="1" applyProtection="1"/>
    <xf numFmtId="0" fontId="0" fillId="0" borderId="0" xfId="0" applyBorder="1" applyProtection="1"/>
    <xf numFmtId="0" fontId="0" fillId="4" borderId="0" xfId="0" applyFill="1" applyProtection="1"/>
    <xf numFmtId="0" fontId="5" fillId="4" borderId="6" xfId="0" applyFont="1" applyFill="1" applyBorder="1" applyProtection="1"/>
    <xf numFmtId="0" fontId="0" fillId="4" borderId="7" xfId="0" applyFill="1" applyBorder="1" applyProtection="1"/>
    <xf numFmtId="0" fontId="0" fillId="4" borderId="8" xfId="0" applyFill="1" applyBorder="1" applyProtection="1"/>
    <xf numFmtId="0" fontId="0" fillId="6" borderId="9" xfId="0" applyFill="1" applyBorder="1" applyProtection="1"/>
    <xf numFmtId="0" fontId="5" fillId="7" borderId="1" xfId="0" applyFont="1" applyFill="1" applyBorder="1" applyProtection="1"/>
    <xf numFmtId="165" fontId="5" fillId="7" borderId="1" xfId="0" applyNumberFormat="1" applyFont="1" applyFill="1" applyBorder="1"/>
    <xf numFmtId="165" fontId="5" fillId="7" borderId="1" xfId="0" applyNumberFormat="1" applyFont="1" applyFill="1" applyBorder="1" applyProtection="1"/>
    <xf numFmtId="0" fontId="5" fillId="6" borderId="9" xfId="0" applyFont="1" applyFill="1" applyBorder="1" applyProtection="1"/>
    <xf numFmtId="0" fontId="0" fillId="7" borderId="1" xfId="0" applyFill="1" applyBorder="1" applyProtection="1"/>
    <xf numFmtId="0" fontId="2" fillId="7" borderId="1" xfId="0" applyFont="1" applyFill="1" applyBorder="1" applyProtection="1"/>
    <xf numFmtId="0" fontId="4" fillId="7" borderId="9" xfId="0" applyFont="1" applyFill="1" applyBorder="1" applyProtection="1"/>
    <xf numFmtId="0" fontId="5" fillId="0" borderId="0" xfId="0" applyFont="1" applyBorder="1" applyAlignment="1" applyProtection="1"/>
    <xf numFmtId="166" fontId="0" fillId="2" borderId="0" xfId="0" applyNumberFormat="1" applyFill="1" applyProtection="1">
      <protection locked="0"/>
    </xf>
    <xf numFmtId="0" fontId="5" fillId="0" borderId="9" xfId="0" applyFont="1" applyFill="1" applyBorder="1" applyProtection="1"/>
    <xf numFmtId="0" fontId="0" fillId="0" borderId="0" xfId="0" applyAlignment="1" applyProtection="1">
      <alignment horizontal="left"/>
      <protection locked="0"/>
    </xf>
    <xf numFmtId="0" fontId="2" fillId="0" borderId="0" xfId="0" applyFont="1"/>
    <xf numFmtId="0" fontId="9" fillId="0" borderId="0" xfId="0" applyFont="1"/>
    <xf numFmtId="0" fontId="0" fillId="0" borderId="0" xfId="0" applyFill="1"/>
    <xf numFmtId="164" fontId="0" fillId="0" borderId="0" xfId="0" applyNumberFormat="1" applyFill="1"/>
    <xf numFmtId="0" fontId="2" fillId="0" borderId="0" xfId="0" applyFont="1" applyAlignment="1">
      <alignment horizontal="right"/>
    </xf>
    <xf numFmtId="165" fontId="0" fillId="0" borderId="0" xfId="0" applyNumberFormat="1" applyFill="1"/>
    <xf numFmtId="0" fontId="5" fillId="0" borderId="0" xfId="0" applyFont="1"/>
    <xf numFmtId="164" fontId="5" fillId="10" borderId="0" xfId="0" applyNumberFormat="1" applyFont="1" applyFill="1" applyProtection="1">
      <protection locked="0"/>
    </xf>
    <xf numFmtId="0" fontId="3" fillId="6" borderId="9" xfId="0" applyFont="1" applyFill="1" applyBorder="1" applyAlignment="1" applyProtection="1"/>
    <xf numFmtId="0" fontId="5" fillId="0" borderId="0" xfId="0" applyFont="1" applyAlignment="1">
      <alignment horizontal="center"/>
    </xf>
    <xf numFmtId="167" fontId="3" fillId="11" borderId="9" xfId="0" applyNumberFormat="1" applyFont="1" applyFill="1" applyBorder="1"/>
    <xf numFmtId="0" fontId="12" fillId="0" borderId="0" xfId="0" applyFont="1"/>
    <xf numFmtId="167" fontId="0" fillId="0" borderId="0" xfId="0" applyNumberFormat="1"/>
    <xf numFmtId="0" fontId="0" fillId="0" borderId="0" xfId="0" applyAlignment="1">
      <alignment horizontal="left"/>
    </xf>
    <xf numFmtId="0" fontId="5" fillId="0" borderId="0" xfId="0" applyFont="1" applyBorder="1" applyAlignment="1">
      <alignment horizontal="center"/>
    </xf>
    <xf numFmtId="0" fontId="5" fillId="0" borderId="1" xfId="0" applyFont="1" applyBorder="1" applyAlignment="1">
      <alignment horizontal="center"/>
    </xf>
    <xf numFmtId="167" fontId="5" fillId="0" borderId="0" xfId="0" applyNumberFormat="1" applyFont="1" applyAlignment="1">
      <alignment horizontal="center"/>
    </xf>
    <xf numFmtId="0" fontId="0" fillId="0" borderId="0" xfId="0" applyAlignment="1">
      <alignment horizontal="right"/>
    </xf>
    <xf numFmtId="166" fontId="0" fillId="0" borderId="0" xfId="0" applyNumberFormat="1"/>
    <xf numFmtId="166" fontId="0" fillId="0" borderId="0" xfId="0" applyNumberFormat="1" applyBorder="1"/>
    <xf numFmtId="2" fontId="0" fillId="0" borderId="0" xfId="0" applyNumberFormat="1" applyFill="1" applyBorder="1"/>
    <xf numFmtId="164" fontId="0" fillId="0" borderId="0" xfId="0" applyNumberFormat="1" applyFill="1" applyBorder="1"/>
    <xf numFmtId="2" fontId="5" fillId="0" borderId="9" xfId="0" applyNumberFormat="1" applyFont="1" applyBorder="1" applyProtection="1">
      <protection locked="0"/>
    </xf>
    <xf numFmtId="167" fontId="0" fillId="0" borderId="0" xfId="0" applyNumberFormat="1" applyFill="1" applyBorder="1"/>
    <xf numFmtId="2" fontId="5" fillId="2" borderId="0" xfId="0" applyNumberFormat="1" applyFont="1" applyFill="1" applyProtection="1">
      <protection locked="0"/>
    </xf>
    <xf numFmtId="165" fontId="0" fillId="0" borderId="0" xfId="0" applyNumberFormat="1"/>
    <xf numFmtId="167" fontId="2" fillId="0" borderId="0" xfId="0" applyNumberFormat="1" applyFont="1"/>
    <xf numFmtId="16" fontId="0" fillId="0" borderId="0" xfId="0" applyNumberFormat="1"/>
    <xf numFmtId="2" fontId="0" fillId="0" borderId="0" xfId="0" applyNumberFormat="1"/>
    <xf numFmtId="164" fontId="0" fillId="0" borderId="0" xfId="0" applyNumberFormat="1"/>
    <xf numFmtId="164" fontId="2" fillId="0" borderId="0" xfId="0" applyNumberFormat="1" applyFont="1"/>
    <xf numFmtId="167" fontId="2" fillId="0" borderId="0" xfId="0" applyNumberFormat="1" applyFont="1" applyAlignment="1">
      <alignment horizontal="right"/>
    </xf>
    <xf numFmtId="168" fontId="0" fillId="0" borderId="0" xfId="0" applyNumberFormat="1"/>
    <xf numFmtId="165" fontId="2" fillId="0" borderId="0" xfId="0" applyNumberFormat="1" applyFont="1"/>
    <xf numFmtId="168" fontId="5" fillId="0" borderId="0" xfId="0" applyNumberFormat="1" applyFont="1"/>
    <xf numFmtId="2" fontId="5" fillId="0" borderId="0" xfId="0" applyNumberFormat="1" applyFont="1"/>
    <xf numFmtId="2" fontId="5" fillId="0" borderId="0" xfId="0" applyNumberFormat="1" applyFont="1" applyAlignment="1">
      <alignment vertical="center"/>
    </xf>
    <xf numFmtId="2" fontId="5" fillId="0" borderId="0" xfId="0" applyNumberFormat="1" applyFont="1" applyAlignment="1">
      <alignment horizontal="center" vertical="center"/>
    </xf>
    <xf numFmtId="167" fontId="5" fillId="0" borderId="0" xfId="0" applyNumberFormat="1" applyFont="1" applyFill="1" applyBorder="1"/>
    <xf numFmtId="165" fontId="3" fillId="0" borderId="0" xfId="0" applyNumberFormat="1" applyFont="1"/>
    <xf numFmtId="4" fontId="3" fillId="0" borderId="0" xfId="0" applyNumberFormat="1" applyFont="1"/>
    <xf numFmtId="2" fontId="0" fillId="10" borderId="0" xfId="0" applyNumberFormat="1" applyFill="1" applyBorder="1" applyProtection="1">
      <protection locked="0"/>
    </xf>
    <xf numFmtId="2" fontId="0" fillId="10" borderId="0" xfId="0" applyNumberFormat="1" applyFill="1" applyProtection="1">
      <protection locked="0"/>
    </xf>
    <xf numFmtId="164" fontId="0" fillId="10" borderId="0" xfId="0" applyNumberFormat="1" applyFill="1" applyProtection="1">
      <protection locked="0"/>
    </xf>
    <xf numFmtId="0" fontId="0" fillId="10" borderId="0" xfId="0" applyFill="1" applyProtection="1">
      <protection locked="0"/>
    </xf>
    <xf numFmtId="165" fontId="0" fillId="10" borderId="0" xfId="0" applyNumberFormat="1" applyFill="1" applyProtection="1">
      <protection locked="0"/>
    </xf>
    <xf numFmtId="0" fontId="14" fillId="0" borderId="0" xfId="0" applyFont="1"/>
    <xf numFmtId="0" fontId="5" fillId="0" borderId="3" xfId="0" applyFont="1" applyBorder="1" applyAlignment="1">
      <alignment horizontal="center"/>
    </xf>
    <xf numFmtId="0" fontId="5" fillId="0" borderId="4" xfId="0" applyFont="1" applyBorder="1" applyAlignment="1">
      <alignment horizontal="center"/>
    </xf>
    <xf numFmtId="0" fontId="7" fillId="8" borderId="10" xfId="0" applyFont="1" applyFill="1" applyBorder="1" applyAlignment="1" applyProtection="1">
      <alignment horizontal="center"/>
    </xf>
    <xf numFmtId="0" fontId="7" fillId="8" borderId="11" xfId="0" applyFont="1" applyFill="1" applyBorder="1" applyAlignment="1" applyProtection="1">
      <alignment horizontal="center"/>
    </xf>
    <xf numFmtId="0" fontId="7" fillId="8" borderId="12" xfId="0" applyFont="1" applyFill="1" applyBorder="1" applyAlignment="1" applyProtection="1">
      <alignment horizontal="center"/>
    </xf>
    <xf numFmtId="0" fontId="7" fillId="8" borderId="13" xfId="0" applyFont="1" applyFill="1" applyBorder="1" applyAlignment="1" applyProtection="1">
      <alignment horizontal="center"/>
    </xf>
    <xf numFmtId="165" fontId="7" fillId="8" borderId="10" xfId="0" applyNumberFormat="1" applyFont="1" applyFill="1" applyBorder="1" applyAlignment="1" applyProtection="1">
      <alignment horizontal="center"/>
    </xf>
    <xf numFmtId="165" fontId="7" fillId="8" borderId="14" xfId="0" applyNumberFormat="1" applyFont="1" applyFill="1" applyBorder="1" applyAlignment="1" applyProtection="1">
      <alignment horizontal="center"/>
    </xf>
    <xf numFmtId="165" fontId="7" fillId="8" borderId="12" xfId="0" applyNumberFormat="1" applyFont="1" applyFill="1" applyBorder="1" applyAlignment="1" applyProtection="1">
      <alignment horizontal="center"/>
    </xf>
    <xf numFmtId="165" fontId="7" fillId="8" borderId="15" xfId="0" applyNumberFormat="1" applyFont="1" applyFill="1" applyBorder="1" applyAlignment="1" applyProtection="1">
      <alignment horizontal="center"/>
    </xf>
    <xf numFmtId="165" fontId="4" fillId="7" borderId="6" xfId="0" applyNumberFormat="1" applyFont="1" applyFill="1" applyBorder="1" applyAlignment="1" applyProtection="1">
      <alignment horizontal="center"/>
    </xf>
    <xf numFmtId="165" fontId="4" fillId="7" borderId="8" xfId="0" applyNumberFormat="1" applyFont="1" applyFill="1" applyBorder="1" applyAlignment="1" applyProtection="1">
      <alignment horizontal="center"/>
    </xf>
    <xf numFmtId="0" fontId="6" fillId="7" borderId="10" xfId="0" applyFont="1" applyFill="1" applyBorder="1" applyAlignment="1" applyProtection="1">
      <alignment horizontal="center" wrapText="1"/>
    </xf>
    <xf numFmtId="0" fontId="6" fillId="7" borderId="11" xfId="0" applyFont="1" applyFill="1" applyBorder="1" applyAlignment="1" applyProtection="1">
      <alignment horizontal="center" wrapText="1"/>
    </xf>
    <xf numFmtId="0" fontId="6" fillId="7" borderId="14" xfId="0" applyFont="1" applyFill="1" applyBorder="1" applyAlignment="1" applyProtection="1">
      <alignment horizontal="center" wrapText="1"/>
    </xf>
    <xf numFmtId="0" fontId="6" fillId="7" borderId="12" xfId="0" applyFont="1" applyFill="1" applyBorder="1" applyAlignment="1" applyProtection="1">
      <alignment horizontal="center" wrapText="1"/>
    </xf>
    <xf numFmtId="0" fontId="6" fillId="7" borderId="13" xfId="0" applyFont="1" applyFill="1" applyBorder="1" applyAlignment="1" applyProtection="1">
      <alignment horizontal="center" wrapText="1"/>
    </xf>
    <xf numFmtId="0" fontId="6" fillId="7" borderId="15" xfId="0" applyFont="1" applyFill="1" applyBorder="1" applyAlignment="1" applyProtection="1">
      <alignment horizontal="center" wrapText="1"/>
    </xf>
    <xf numFmtId="0" fontId="0" fillId="7" borderId="16" xfId="0" applyFill="1" applyBorder="1" applyAlignment="1" applyProtection="1">
      <alignment horizontal="center"/>
    </xf>
    <xf numFmtId="0" fontId="0" fillId="0" borderId="0" xfId="0" applyFill="1" applyBorder="1" applyAlignment="1" applyProtection="1">
      <alignment horizontal="center"/>
    </xf>
    <xf numFmtId="0" fontId="5" fillId="7" borderId="10" xfId="0" applyFont="1" applyFill="1" applyBorder="1" applyAlignment="1" applyProtection="1">
      <alignment horizontal="center" wrapText="1"/>
    </xf>
    <xf numFmtId="0" fontId="5" fillId="7" borderId="14" xfId="0" applyFont="1" applyFill="1" applyBorder="1" applyAlignment="1" applyProtection="1">
      <alignment horizontal="center" wrapText="1"/>
    </xf>
    <xf numFmtId="0" fontId="5" fillId="7" borderId="12" xfId="0" applyFont="1" applyFill="1" applyBorder="1" applyAlignment="1" applyProtection="1">
      <alignment horizontal="center" wrapText="1"/>
    </xf>
    <xf numFmtId="0" fontId="5" fillId="7" borderId="15" xfId="0" applyFont="1" applyFill="1" applyBorder="1" applyAlignment="1" applyProtection="1">
      <alignment horizontal="center" wrapText="1"/>
    </xf>
    <xf numFmtId="0" fontId="0" fillId="7" borderId="1" xfId="0" applyFill="1" applyBorder="1" applyAlignment="1" applyProtection="1">
      <alignment horizontal="center"/>
    </xf>
    <xf numFmtId="0" fontId="3" fillId="5" borderId="10" xfId="0" applyFont="1" applyFill="1" applyBorder="1" applyAlignment="1" applyProtection="1">
      <alignment horizontal="center" wrapText="1"/>
    </xf>
    <xf numFmtId="0" fontId="3" fillId="5" borderId="11" xfId="0" applyFont="1" applyFill="1" applyBorder="1" applyAlignment="1" applyProtection="1">
      <alignment horizontal="center" wrapText="1"/>
    </xf>
    <xf numFmtId="0" fontId="3" fillId="5" borderId="14" xfId="0" applyFont="1" applyFill="1" applyBorder="1" applyAlignment="1" applyProtection="1">
      <alignment horizontal="center" wrapText="1"/>
    </xf>
    <xf numFmtId="0" fontId="3" fillId="5" borderId="12" xfId="0" applyFont="1" applyFill="1" applyBorder="1" applyAlignment="1" applyProtection="1">
      <alignment horizontal="center" wrapText="1"/>
    </xf>
    <xf numFmtId="0" fontId="3" fillId="5" borderId="13" xfId="0" applyFont="1" applyFill="1" applyBorder="1" applyAlignment="1" applyProtection="1">
      <alignment horizontal="center" wrapText="1"/>
    </xf>
    <xf numFmtId="0" fontId="3" fillId="5" borderId="15" xfId="0" applyFont="1" applyFill="1" applyBorder="1" applyAlignment="1" applyProtection="1">
      <alignment horizontal="center" wrapText="1"/>
    </xf>
    <xf numFmtId="0" fontId="5" fillId="9" borderId="10" xfId="0" applyFont="1" applyFill="1" applyBorder="1" applyAlignment="1" applyProtection="1">
      <alignment horizontal="center" wrapText="1"/>
    </xf>
    <xf numFmtId="0" fontId="5" fillId="9" borderId="11" xfId="0" applyFont="1" applyFill="1" applyBorder="1" applyAlignment="1" applyProtection="1">
      <alignment horizontal="center" wrapText="1"/>
    </xf>
    <xf numFmtId="0" fontId="5" fillId="9" borderId="14" xfId="0" applyFont="1" applyFill="1" applyBorder="1" applyAlignment="1" applyProtection="1">
      <alignment horizontal="center" wrapText="1"/>
    </xf>
    <xf numFmtId="0" fontId="5" fillId="9" borderId="17" xfId="0" applyFont="1" applyFill="1" applyBorder="1" applyAlignment="1" applyProtection="1">
      <alignment horizontal="center" wrapText="1"/>
    </xf>
    <xf numFmtId="0" fontId="5" fillId="9" borderId="0" xfId="0" applyFont="1" applyFill="1" applyBorder="1" applyAlignment="1" applyProtection="1">
      <alignment horizontal="center" wrapText="1"/>
    </xf>
    <xf numFmtId="0" fontId="5" fillId="9" borderId="18" xfId="0" applyFont="1" applyFill="1" applyBorder="1" applyAlignment="1" applyProtection="1">
      <alignment horizontal="center" wrapText="1"/>
    </xf>
    <xf numFmtId="0" fontId="5" fillId="9" borderId="12" xfId="0" applyFont="1" applyFill="1" applyBorder="1" applyAlignment="1" applyProtection="1">
      <alignment horizontal="center" wrapText="1"/>
    </xf>
    <xf numFmtId="0" fontId="5" fillId="9" borderId="13" xfId="0" applyFont="1" applyFill="1" applyBorder="1" applyAlignment="1" applyProtection="1">
      <alignment horizontal="center" wrapText="1"/>
    </xf>
    <xf numFmtId="0" fontId="5" fillId="9" borderId="15" xfId="0" applyFont="1" applyFill="1" applyBorder="1" applyAlignment="1" applyProtection="1">
      <alignment horizontal="center" wrapText="1"/>
    </xf>
    <xf numFmtId="0" fontId="5" fillId="2" borderId="6" xfId="0" applyFont="1" applyFill="1" applyBorder="1" applyAlignment="1" applyProtection="1">
      <alignment horizontal="center"/>
    </xf>
    <xf numFmtId="0" fontId="5" fillId="2" borderId="7" xfId="0" applyFont="1" applyFill="1" applyBorder="1" applyAlignment="1" applyProtection="1">
      <alignment horizontal="center"/>
    </xf>
    <xf numFmtId="0" fontId="5" fillId="2" borderId="8" xfId="0" applyFont="1" applyFill="1" applyBorder="1" applyAlignment="1" applyProtection="1">
      <alignment horizontal="center"/>
    </xf>
    <xf numFmtId="0" fontId="5" fillId="0" borderId="6" xfId="0" applyFont="1" applyFill="1" applyBorder="1" applyAlignment="1" applyProtection="1">
      <alignment horizontal="center"/>
    </xf>
    <xf numFmtId="0" fontId="5" fillId="0" borderId="8" xfId="0" applyFont="1" applyFill="1" applyBorder="1" applyAlignment="1" applyProtection="1">
      <alignment horizontal="center"/>
    </xf>
    <xf numFmtId="0" fontId="5" fillId="4" borderId="6" xfId="0" applyFont="1" applyFill="1" applyBorder="1" applyAlignment="1" applyProtection="1">
      <alignment horizontal="center"/>
    </xf>
    <xf numFmtId="0" fontId="5" fillId="4" borderId="7" xfId="0" applyFont="1" applyFill="1" applyBorder="1" applyAlignment="1" applyProtection="1">
      <alignment horizontal="center"/>
    </xf>
    <xf numFmtId="0" fontId="5" fillId="4" borderId="8" xfId="0" applyFont="1" applyFill="1" applyBorder="1" applyAlignment="1" applyProtection="1">
      <alignment horizontal="center"/>
    </xf>
    <xf numFmtId="0" fontId="6" fillId="6" borderId="6" xfId="0" applyFont="1" applyFill="1" applyBorder="1" applyAlignment="1" applyProtection="1">
      <alignment horizontal="center"/>
    </xf>
    <xf numFmtId="0" fontId="6" fillId="6" borderId="7" xfId="0" applyFont="1" applyFill="1" applyBorder="1" applyAlignment="1" applyProtection="1">
      <alignment horizontal="center"/>
    </xf>
    <xf numFmtId="0" fontId="6" fillId="6" borderId="8" xfId="0" applyFont="1" applyFill="1" applyBorder="1" applyAlignment="1" applyProtection="1">
      <alignment horizontal="center"/>
    </xf>
    <xf numFmtId="0" fontId="5" fillId="7" borderId="11" xfId="0" applyFont="1" applyFill="1" applyBorder="1" applyAlignment="1" applyProtection="1">
      <alignment horizontal="center" wrapText="1"/>
    </xf>
    <xf numFmtId="0" fontId="5" fillId="7" borderId="13" xfId="0" applyFont="1" applyFill="1" applyBorder="1" applyAlignment="1" applyProtection="1">
      <alignment horizontal="center" wrapText="1"/>
    </xf>
    <xf numFmtId="0" fontId="5" fillId="7" borderId="17" xfId="0" applyFont="1" applyFill="1" applyBorder="1" applyAlignment="1" applyProtection="1">
      <alignment horizontal="center" wrapText="1"/>
    </xf>
    <xf numFmtId="0" fontId="5" fillId="7" borderId="18" xfId="0" applyFont="1" applyFill="1" applyBorder="1" applyAlignment="1" applyProtection="1">
      <alignment horizontal="center" wrapText="1"/>
    </xf>
    <xf numFmtId="0" fontId="0" fillId="0" borderId="0" xfId="0" applyAlignment="1" applyProtection="1">
      <alignment horizontal="center" wrapText="1"/>
    </xf>
    <xf numFmtId="0" fontId="3" fillId="7" borderId="6" xfId="0" applyFont="1" applyFill="1" applyBorder="1" applyAlignment="1" applyProtection="1">
      <alignment horizontal="center"/>
    </xf>
    <xf numFmtId="0" fontId="3" fillId="7" borderId="7" xfId="0" applyFont="1" applyFill="1" applyBorder="1" applyAlignment="1" applyProtection="1">
      <alignment horizontal="center"/>
    </xf>
    <xf numFmtId="0" fontId="3" fillId="7" borderId="8" xfId="0" applyFont="1" applyFill="1" applyBorder="1" applyAlignment="1" applyProtection="1">
      <alignment horizontal="center"/>
    </xf>
    <xf numFmtId="0" fontId="4" fillId="7" borderId="7" xfId="0" applyFont="1" applyFill="1" applyBorder="1" applyAlignment="1" applyProtection="1">
      <alignment horizontal="center"/>
    </xf>
    <xf numFmtId="0" fontId="4" fillId="7" borderId="8" xfId="0" applyFont="1" applyFill="1" applyBorder="1" applyAlignment="1" applyProtection="1">
      <alignment horizontal="center"/>
    </xf>
    <xf numFmtId="0" fontId="5" fillId="0" borderId="0" xfId="0" applyFont="1" applyAlignment="1" applyProtection="1">
      <alignment horizontal="center"/>
    </xf>
    <xf numFmtId="0" fontId="0" fillId="0" borderId="0" xfId="0" applyAlignment="1" applyProtection="1">
      <alignment horizontal="center"/>
    </xf>
    <xf numFmtId="0" fontId="0" fillId="0" borderId="0" xfId="0" applyAlignment="1">
      <alignment horizontal="center" wrapText="1"/>
    </xf>
    <xf numFmtId="0" fontId="3" fillId="7" borderId="6" xfId="0" applyFont="1" applyFill="1" applyBorder="1" applyAlignment="1">
      <alignment horizontal="center"/>
    </xf>
    <xf numFmtId="0" fontId="3" fillId="7" borderId="7" xfId="0" applyFont="1" applyFill="1" applyBorder="1" applyAlignment="1">
      <alignment horizontal="center"/>
    </xf>
    <xf numFmtId="0" fontId="3" fillId="7" borderId="8" xfId="0" applyFont="1" applyFill="1" applyBorder="1" applyAlignment="1">
      <alignment horizontal="center"/>
    </xf>
    <xf numFmtId="0" fontId="4" fillId="7" borderId="7" xfId="0" applyFont="1" applyFill="1" applyBorder="1" applyAlignment="1">
      <alignment horizontal="center"/>
    </xf>
    <xf numFmtId="0" fontId="4" fillId="7" borderId="8" xfId="0" applyFont="1" applyFill="1" applyBorder="1" applyAlignment="1">
      <alignment horizontal="center"/>
    </xf>
    <xf numFmtId="0" fontId="5" fillId="0" borderId="0" xfId="0" applyFont="1" applyAlignment="1">
      <alignment horizontal="center"/>
    </xf>
    <xf numFmtId="0" fontId="0" fillId="0" borderId="0" xfId="0" applyAlignment="1">
      <alignment horizontal="center"/>
    </xf>
    <xf numFmtId="0" fontId="5" fillId="0" borderId="0" xfId="0" applyFont="1" applyAlignment="1">
      <alignment horizontal="left"/>
    </xf>
    <xf numFmtId="0" fontId="12" fillId="0" borderId="0" xfId="0" applyFont="1" applyProtection="1">
      <protection hidden="1"/>
    </xf>
    <xf numFmtId="0" fontId="0" fillId="0" borderId="0" xfId="0" applyProtection="1">
      <protection hidden="1"/>
    </xf>
    <xf numFmtId="0" fontId="0" fillId="0" borderId="0" xfId="0" applyAlignment="1" applyProtection="1">
      <alignment horizontal="right"/>
      <protection hidden="1"/>
    </xf>
    <xf numFmtId="0" fontId="14" fillId="0" borderId="0" xfId="0" applyFont="1" applyProtection="1">
      <protection hidden="1"/>
    </xf>
    <xf numFmtId="0" fontId="5" fillId="0" borderId="0" xfId="0" applyFont="1" applyProtection="1">
      <protection hidden="1"/>
    </xf>
    <xf numFmtId="0" fontId="2" fillId="0" borderId="0" xfId="0" applyFont="1" applyProtection="1">
      <protection hidden="1"/>
    </xf>
    <xf numFmtId="167" fontId="2" fillId="0" borderId="0" xfId="0" applyNumberFormat="1" applyFont="1" applyAlignment="1" applyProtection="1">
      <alignment horizontal="center"/>
      <protection hidden="1"/>
    </xf>
    <xf numFmtId="0" fontId="0" fillId="0" borderId="0" xfId="0" applyAlignment="1" applyProtection="1">
      <alignment horizontal="left"/>
      <protection hidden="1"/>
    </xf>
    <xf numFmtId="0" fontId="5" fillId="0" borderId="3" xfId="0" applyFont="1" applyBorder="1" applyAlignment="1" applyProtection="1">
      <alignment horizontal="center"/>
      <protection hidden="1"/>
    </xf>
    <xf numFmtId="0" fontId="5" fillId="0" borderId="4" xfId="0" applyFont="1" applyBorder="1" applyAlignment="1" applyProtection="1">
      <alignment horizontal="center"/>
      <protection hidden="1"/>
    </xf>
    <xf numFmtId="0" fontId="5" fillId="0" borderId="0" xfId="0" applyFont="1" applyBorder="1" applyAlignment="1" applyProtection="1">
      <alignment horizontal="center"/>
      <protection hidden="1"/>
    </xf>
    <xf numFmtId="0" fontId="5" fillId="0" borderId="1" xfId="0" applyFont="1" applyBorder="1" applyAlignment="1" applyProtection="1">
      <alignment horizontal="center"/>
      <protection hidden="1"/>
    </xf>
    <xf numFmtId="0" fontId="5" fillId="0" borderId="0" xfId="0" applyFont="1" applyAlignment="1" applyProtection="1">
      <alignment horizontal="center"/>
      <protection hidden="1"/>
    </xf>
    <xf numFmtId="16" fontId="0" fillId="0" borderId="0" xfId="0" applyNumberFormat="1" applyProtection="1">
      <protection hidden="1"/>
    </xf>
    <xf numFmtId="166" fontId="0" fillId="0" borderId="0" xfId="0" applyNumberFormat="1" applyProtection="1">
      <protection hidden="1"/>
    </xf>
    <xf numFmtId="2" fontId="0" fillId="0" borderId="0" xfId="0" applyNumberFormat="1" applyProtection="1">
      <protection hidden="1"/>
    </xf>
    <xf numFmtId="164" fontId="0" fillId="0" borderId="0" xfId="0" applyNumberFormat="1" applyProtection="1">
      <protection hidden="1"/>
    </xf>
    <xf numFmtId="0" fontId="2" fillId="0" borderId="0" xfId="0" applyFont="1" applyAlignment="1" applyProtection="1">
      <alignment horizontal="right"/>
      <protection hidden="1"/>
    </xf>
    <xf numFmtId="166" fontId="0" fillId="2" borderId="0" xfId="0" applyNumberFormat="1" applyFill="1" applyProtection="1">
      <protection hidden="1"/>
    </xf>
    <xf numFmtId="166" fontId="2" fillId="2" borderId="0" xfId="0" applyNumberFormat="1" applyFont="1" applyFill="1" applyProtection="1">
      <protection hidden="1"/>
    </xf>
    <xf numFmtId="171" fontId="0" fillId="0" borderId="0" xfId="0" applyNumberFormat="1" applyBorder="1" applyProtection="1">
      <protection hidden="1"/>
    </xf>
    <xf numFmtId="166" fontId="0" fillId="0" borderId="0" xfId="0" applyNumberFormat="1" applyBorder="1" applyProtection="1">
      <protection hidden="1"/>
    </xf>
    <xf numFmtId="167" fontId="2" fillId="0" borderId="0" xfId="0" applyNumberFormat="1" applyFont="1" applyProtection="1">
      <protection hidden="1"/>
    </xf>
    <xf numFmtId="169" fontId="0" fillId="0" borderId="0" xfId="0" applyNumberFormat="1" applyProtection="1">
      <protection hidden="1"/>
    </xf>
    <xf numFmtId="171" fontId="0" fillId="0" borderId="0" xfId="0" applyNumberFormat="1" applyProtection="1">
      <protection hidden="1"/>
    </xf>
    <xf numFmtId="166" fontId="2" fillId="0" borderId="0" xfId="0" applyNumberFormat="1" applyFont="1" applyProtection="1">
      <protection hidden="1"/>
    </xf>
    <xf numFmtId="2" fontId="0" fillId="0" borderId="0" xfId="0" applyNumberFormat="1" applyFill="1" applyBorder="1" applyProtection="1">
      <protection hidden="1"/>
    </xf>
    <xf numFmtId="2" fontId="0" fillId="10" borderId="0" xfId="0" applyNumberFormat="1" applyFill="1" applyBorder="1" applyProtection="1">
      <protection hidden="1"/>
    </xf>
    <xf numFmtId="164" fontId="0" fillId="0" borderId="0" xfId="0" applyNumberFormat="1" applyFill="1" applyBorder="1" applyProtection="1">
      <protection hidden="1"/>
    </xf>
    <xf numFmtId="167" fontId="0" fillId="0" borderId="0" xfId="0" applyNumberFormat="1" applyFill="1" applyBorder="1" applyProtection="1">
      <protection hidden="1"/>
    </xf>
    <xf numFmtId="167" fontId="5" fillId="0" borderId="0" xfId="0" applyNumberFormat="1" applyFont="1" applyFill="1" applyBorder="1" applyProtection="1">
      <protection hidden="1"/>
    </xf>
    <xf numFmtId="2" fontId="0" fillId="10" borderId="0" xfId="0" applyNumberFormat="1" applyFill="1" applyProtection="1">
      <protection hidden="1"/>
    </xf>
    <xf numFmtId="164" fontId="0" fillId="10" borderId="0" xfId="0" applyNumberFormat="1" applyFill="1" applyProtection="1">
      <protection hidden="1"/>
    </xf>
    <xf numFmtId="165" fontId="0" fillId="10" borderId="0" xfId="0" applyNumberFormat="1" applyFill="1" applyProtection="1">
      <protection hidden="1"/>
    </xf>
    <xf numFmtId="165" fontId="0" fillId="0" borderId="0" xfId="0" applyNumberFormat="1" applyProtection="1">
      <protection hidden="1"/>
    </xf>
    <xf numFmtId="0" fontId="0" fillId="10" borderId="0" xfId="0" applyFill="1" applyProtection="1">
      <protection hidden="1"/>
    </xf>
    <xf numFmtId="0" fontId="2" fillId="0" borderId="0" xfId="0" applyFont="1" applyFill="1" applyAlignment="1" applyProtection="1">
      <alignment horizontal="right"/>
      <protection hidden="1"/>
    </xf>
    <xf numFmtId="0" fontId="0" fillId="0" borderId="0" xfId="0" applyFill="1" applyProtection="1">
      <protection hidden="1"/>
    </xf>
    <xf numFmtId="165" fontId="2" fillId="10" borderId="0" xfId="0" applyNumberFormat="1" applyFont="1" applyFill="1" applyAlignment="1" applyProtection="1">
      <alignment horizontal="right"/>
      <protection hidden="1"/>
    </xf>
    <xf numFmtId="165" fontId="0" fillId="0" borderId="0" xfId="0" applyNumberFormat="1" applyFill="1" applyProtection="1">
      <protection hidden="1"/>
    </xf>
    <xf numFmtId="169" fontId="0" fillId="0" borderId="0" xfId="0" applyNumberFormat="1" applyFill="1" applyProtection="1">
      <protection hidden="1"/>
    </xf>
    <xf numFmtId="169" fontId="2" fillId="0" borderId="0" xfId="0" applyNumberFormat="1" applyFont="1" applyFill="1" applyProtection="1">
      <protection hidden="1"/>
    </xf>
    <xf numFmtId="169" fontId="2" fillId="0" borderId="0" xfId="0" applyNumberFormat="1" applyFont="1" applyProtection="1">
      <protection hidden="1"/>
    </xf>
    <xf numFmtId="4" fontId="0" fillId="0" borderId="0" xfId="0" applyNumberFormat="1" applyFill="1" applyProtection="1">
      <protection hidden="1"/>
    </xf>
    <xf numFmtId="4" fontId="0" fillId="0" borderId="0" xfId="0" applyNumberFormat="1" applyProtection="1">
      <protection hidden="1"/>
    </xf>
    <xf numFmtId="2" fontId="2" fillId="10" borderId="0" xfId="0" applyNumberFormat="1" applyFont="1" applyFill="1" applyAlignment="1" applyProtection="1">
      <alignment horizontal="right"/>
      <protection hidden="1"/>
    </xf>
    <xf numFmtId="169" fontId="0" fillId="10" borderId="0" xfId="0" applyNumberFormat="1" applyFill="1" applyProtection="1">
      <protection hidden="1"/>
    </xf>
    <xf numFmtId="170" fontId="3" fillId="0" borderId="0" xfId="0" applyNumberFormat="1" applyFont="1" applyProtection="1">
      <protection hidden="1"/>
    </xf>
    <xf numFmtId="4" fontId="3" fillId="0" borderId="0" xfId="0" applyNumberFormat="1" applyFont="1" applyProtection="1">
      <protection hidden="1"/>
    </xf>
    <xf numFmtId="0" fontId="3" fillId="0" borderId="0" xfId="0" applyFont="1" applyProtection="1">
      <protection hidden="1"/>
    </xf>
    <xf numFmtId="170" fontId="2" fillId="0" borderId="0" xfId="0" applyNumberFormat="1" applyFont="1" applyProtection="1">
      <protection hidden="1"/>
    </xf>
    <xf numFmtId="167" fontId="0" fillId="0" borderId="0" xfId="0" applyNumberFormat="1" applyProtection="1">
      <protection hidden="1"/>
    </xf>
    <xf numFmtId="4" fontId="2" fillId="0" borderId="0" xfId="0" applyNumberFormat="1" applyFont="1" applyProtection="1">
      <protection hidden="1"/>
    </xf>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worksheet" Target="worksheets/sheet7.xml"/><Relationship Id="rId18" Type="http://schemas.openxmlformats.org/officeDocument/2006/relationships/worksheet" Target="worksheets/sheet1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5.xml"/><Relationship Id="rId12" Type="http://schemas.openxmlformats.org/officeDocument/2006/relationships/chartsheet" Target="chartsheets/sheet6.xml"/><Relationship Id="rId17" Type="http://schemas.openxmlformats.org/officeDocument/2006/relationships/worksheet" Target="worksheets/sheet11.xml"/><Relationship Id="rId2" Type="http://schemas.openxmlformats.org/officeDocument/2006/relationships/worksheet" Target="worksheets/sheet2.xml"/><Relationship Id="rId16" Type="http://schemas.openxmlformats.org/officeDocument/2006/relationships/worksheet" Target="worksheets/sheet10.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chartsheet" Target="chartsheets/sheet2.xml"/><Relationship Id="rId11" Type="http://schemas.openxmlformats.org/officeDocument/2006/relationships/chartsheet" Target="chartsheets/sheet5.xml"/><Relationship Id="rId5" Type="http://schemas.openxmlformats.org/officeDocument/2006/relationships/chartsheet" Target="chartsheets/sheet1.xml"/><Relationship Id="rId15" Type="http://schemas.openxmlformats.org/officeDocument/2006/relationships/worksheet" Target="worksheets/sheet9.xml"/><Relationship Id="rId10" Type="http://schemas.openxmlformats.org/officeDocument/2006/relationships/worksheet" Target="worksheets/sheet6.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hartsheet" Target="chartsheets/sheet4.xml"/><Relationship Id="rId14" Type="http://schemas.openxmlformats.org/officeDocument/2006/relationships/worksheet" Target="worksheets/sheet8.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en-US"/>
  <c:protection/>
  <c:chart>
    <c:title>
      <c:tx>
        <c:rich>
          <a:bodyPr/>
          <a:lstStyle/>
          <a:p>
            <a:pPr>
              <a:defRPr sz="1200" b="1" i="0" u="none" strike="noStrike" baseline="0">
                <a:solidFill>
                  <a:srgbClr val="000000"/>
                </a:solidFill>
                <a:latin typeface="Arial"/>
                <a:ea typeface="Arial"/>
                <a:cs typeface="Arial"/>
              </a:defRPr>
            </a:pPr>
            <a:r>
              <a:rPr lang="en-US"/>
              <a:t>Compressibility (Sp Gr = 0.55, MW = 15.95)</a:t>
            </a:r>
          </a:p>
        </c:rich>
      </c:tx>
      <c:layout>
        <c:manualLayout>
          <c:xMode val="edge"/>
          <c:yMode val="edge"/>
          <c:x val="0.32075471698113206"/>
          <c:y val="1.9575856443719494E-2"/>
        </c:manualLayout>
      </c:layout>
      <c:spPr>
        <a:noFill/>
        <a:ln w="25400">
          <a:noFill/>
        </a:ln>
      </c:spPr>
    </c:title>
    <c:plotArea>
      <c:layout>
        <c:manualLayout>
          <c:layoutTarget val="inner"/>
          <c:xMode val="edge"/>
          <c:yMode val="edge"/>
          <c:x val="7.8801331853496567E-2"/>
          <c:y val="0.12234910277324652"/>
          <c:w val="0.75249722530521668"/>
          <c:h val="0.77161500815660922"/>
        </c:manualLayout>
      </c:layout>
      <c:lineChart>
        <c:grouping val="standard"/>
        <c:ser>
          <c:idx val="0"/>
          <c:order val="0"/>
          <c:tx>
            <c:v>T = 150 F</c:v>
          </c:tx>
          <c:spPr>
            <a:ln w="12700">
              <a:solidFill>
                <a:srgbClr val="000080"/>
              </a:solidFill>
              <a:prstDash val="solid"/>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poly"/>
            <c:order val="3"/>
          </c:trendline>
          <c:cat>
            <c:numRef>
              <c:f>'DATA - MW = 15.95 (Sp Gr= 0.55)'!$A$8:$A$33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15.95 (Sp Gr= 0.55)'!$B$8:$B$33</c:f>
              <c:numCache>
                <c:formatCode>General</c:formatCode>
                <c:ptCount val="26"/>
                <c:pt idx="0">
                  <c:v>1</c:v>
                </c:pt>
                <c:pt idx="1">
                  <c:v>0.997</c:v>
                </c:pt>
                <c:pt idx="2">
                  <c:v>0.99399999999999999</c:v>
                </c:pt>
                <c:pt idx="3">
                  <c:v>0.99199999999999999</c:v>
                </c:pt>
                <c:pt idx="4">
                  <c:v>0.98899999999999999</c:v>
                </c:pt>
                <c:pt idx="5">
                  <c:v>0.98499999999999999</c:v>
                </c:pt>
                <c:pt idx="6">
                  <c:v>0.98099999999999998</c:v>
                </c:pt>
                <c:pt idx="7">
                  <c:v>0.97899999999999998</c:v>
                </c:pt>
                <c:pt idx="8">
                  <c:v>0.97599999999999998</c:v>
                </c:pt>
                <c:pt idx="9">
                  <c:v>0.97199999999999998</c:v>
                </c:pt>
                <c:pt idx="10">
                  <c:v>0.96899999999999997</c:v>
                </c:pt>
                <c:pt idx="11">
                  <c:v>0.96699999999999997</c:v>
                </c:pt>
                <c:pt idx="12">
                  <c:v>0.96299999999999997</c:v>
                </c:pt>
                <c:pt idx="13">
                  <c:v>0.96</c:v>
                </c:pt>
                <c:pt idx="14">
                  <c:v>0.95499999999999996</c:v>
                </c:pt>
                <c:pt idx="15">
                  <c:v>0.95199999999999996</c:v>
                </c:pt>
                <c:pt idx="16">
                  <c:v>0.95</c:v>
                </c:pt>
                <c:pt idx="17">
                  <c:v>0.94799999999999995</c:v>
                </c:pt>
                <c:pt idx="18">
                  <c:v>0.94399999999999995</c:v>
                </c:pt>
                <c:pt idx="19">
                  <c:v>0.94099999999999995</c:v>
                </c:pt>
                <c:pt idx="20">
                  <c:v>0.93899999999999995</c:v>
                </c:pt>
                <c:pt idx="21">
                  <c:v>0.93700000000000006</c:v>
                </c:pt>
                <c:pt idx="22">
                  <c:v>0.93500000000000005</c:v>
                </c:pt>
                <c:pt idx="23">
                  <c:v>0.93300000000000005</c:v>
                </c:pt>
                <c:pt idx="24">
                  <c:v>0.93</c:v>
                </c:pt>
                <c:pt idx="25">
                  <c:v>0.92700000000000005</c:v>
                </c:pt>
              </c:numCache>
            </c:numRef>
          </c:val>
        </c:ser>
        <c:ser>
          <c:idx val="1"/>
          <c:order val="1"/>
          <c:tx>
            <c:v>T = 100 F</c:v>
          </c:tx>
          <c:spPr>
            <a:ln w="12700">
              <a:solidFill>
                <a:srgbClr val="FF00FF"/>
              </a:solidFill>
              <a:prstDash val="solid"/>
            </a:ln>
          </c:spPr>
          <c:marker>
            <c:symbol val="square"/>
            <c:size val="5"/>
            <c:spPr>
              <a:solidFill>
                <a:srgbClr val="FF00FF"/>
              </a:solidFill>
              <a:ln>
                <a:solidFill>
                  <a:srgbClr val="FF00FF"/>
                </a:solidFill>
                <a:prstDash val="solid"/>
              </a:ln>
            </c:spPr>
          </c:marker>
          <c:trendline>
            <c:spPr>
              <a:ln w="25400">
                <a:solidFill>
                  <a:srgbClr val="000000"/>
                </a:solidFill>
                <a:prstDash val="solid"/>
              </a:ln>
            </c:spPr>
            <c:trendlineType val="poly"/>
            <c:order val="3"/>
          </c:trendline>
          <c:cat>
            <c:numRef>
              <c:f>'DATA - MW = 15.95 (Sp Gr= 0.55)'!$A$8:$A$33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15.95 (Sp Gr= 0.55)'!$L$8:$L$33</c:f>
              <c:numCache>
                <c:formatCode>General</c:formatCode>
                <c:ptCount val="26"/>
                <c:pt idx="0">
                  <c:v>1</c:v>
                </c:pt>
                <c:pt idx="1">
                  <c:v>0.99399999999999999</c:v>
                </c:pt>
                <c:pt idx="2">
                  <c:v>0.99</c:v>
                </c:pt>
                <c:pt idx="3">
                  <c:v>0.98499999999999999</c:v>
                </c:pt>
                <c:pt idx="4">
                  <c:v>0.98</c:v>
                </c:pt>
                <c:pt idx="5">
                  <c:v>0.97499999999999998</c:v>
                </c:pt>
                <c:pt idx="6">
                  <c:v>0.97</c:v>
                </c:pt>
                <c:pt idx="7">
                  <c:v>0.96399999999999997</c:v>
                </c:pt>
                <c:pt idx="8">
                  <c:v>0.96</c:v>
                </c:pt>
                <c:pt idx="9">
                  <c:v>0.95499999999999996</c:v>
                </c:pt>
                <c:pt idx="10">
                  <c:v>0.95099999999999996</c:v>
                </c:pt>
                <c:pt idx="11">
                  <c:v>0.94599999999999995</c:v>
                </c:pt>
                <c:pt idx="12">
                  <c:v>0.94099999999999995</c:v>
                </c:pt>
                <c:pt idx="13">
                  <c:v>0.93700000000000006</c:v>
                </c:pt>
                <c:pt idx="14">
                  <c:v>0.93200000000000005</c:v>
                </c:pt>
                <c:pt idx="15">
                  <c:v>0.92800000000000005</c:v>
                </c:pt>
                <c:pt idx="16">
                  <c:v>0.92600000000000005</c:v>
                </c:pt>
                <c:pt idx="17">
                  <c:v>0.92</c:v>
                </c:pt>
                <c:pt idx="18">
                  <c:v>0.91400000000000003</c:v>
                </c:pt>
                <c:pt idx="19">
                  <c:v>0.90800000000000003</c:v>
                </c:pt>
                <c:pt idx="20">
                  <c:v>0.90400000000000003</c:v>
                </c:pt>
                <c:pt idx="21">
                  <c:v>0.9</c:v>
                </c:pt>
                <c:pt idx="22">
                  <c:v>0.89700000000000002</c:v>
                </c:pt>
                <c:pt idx="23">
                  <c:v>0.89300000000000002</c:v>
                </c:pt>
                <c:pt idx="24">
                  <c:v>0.89</c:v>
                </c:pt>
                <c:pt idx="25">
                  <c:v>0.88700000000000001</c:v>
                </c:pt>
              </c:numCache>
            </c:numRef>
          </c:val>
        </c:ser>
        <c:ser>
          <c:idx val="2"/>
          <c:order val="2"/>
          <c:tx>
            <c:v>T = 75 F</c:v>
          </c:tx>
          <c:spPr>
            <a:ln w="12700">
              <a:solidFill>
                <a:srgbClr val="FFFF00"/>
              </a:solidFill>
              <a:prstDash val="solid"/>
            </a:ln>
          </c:spPr>
          <c:marker>
            <c:symbol val="triangle"/>
            <c:size val="5"/>
            <c:spPr>
              <a:solidFill>
                <a:srgbClr val="FFFF00"/>
              </a:solidFill>
              <a:ln>
                <a:solidFill>
                  <a:srgbClr val="FFFF00"/>
                </a:solidFill>
                <a:prstDash val="solid"/>
              </a:ln>
            </c:spPr>
          </c:marker>
          <c:trendline>
            <c:spPr>
              <a:ln w="25400">
                <a:solidFill>
                  <a:srgbClr val="000000"/>
                </a:solidFill>
                <a:prstDash val="solid"/>
              </a:ln>
            </c:spPr>
            <c:trendlineType val="poly"/>
            <c:order val="3"/>
          </c:trendline>
          <c:cat>
            <c:numRef>
              <c:f>'DATA - MW = 15.95 (Sp Gr= 0.55)'!$A$8:$A$33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15.95 (Sp Gr= 0.55)'!$Q$8:$Q$33</c:f>
              <c:numCache>
                <c:formatCode>General</c:formatCode>
                <c:ptCount val="26"/>
                <c:pt idx="0">
                  <c:v>1</c:v>
                </c:pt>
                <c:pt idx="1">
                  <c:v>0.99299999999999999</c:v>
                </c:pt>
                <c:pt idx="2">
                  <c:v>0.98699999999999999</c:v>
                </c:pt>
                <c:pt idx="3">
                  <c:v>0.98099999999999998</c:v>
                </c:pt>
                <c:pt idx="4">
                  <c:v>0.97499999999999998</c:v>
                </c:pt>
                <c:pt idx="5">
                  <c:v>0.97</c:v>
                </c:pt>
                <c:pt idx="6">
                  <c:v>0.96399999999999997</c:v>
                </c:pt>
                <c:pt idx="7">
                  <c:v>0.95799999999999996</c:v>
                </c:pt>
                <c:pt idx="8">
                  <c:v>0.95199999999999996</c:v>
                </c:pt>
                <c:pt idx="9">
                  <c:v>0.94699999999999995</c:v>
                </c:pt>
                <c:pt idx="10">
                  <c:v>0.94</c:v>
                </c:pt>
                <c:pt idx="11">
                  <c:v>0.93700000000000006</c:v>
                </c:pt>
                <c:pt idx="12">
                  <c:v>0.93100000000000005</c:v>
                </c:pt>
                <c:pt idx="13">
                  <c:v>0.92600000000000005</c:v>
                </c:pt>
                <c:pt idx="14">
                  <c:v>0.92</c:v>
                </c:pt>
                <c:pt idx="15">
                  <c:v>0.91100000000000003</c:v>
                </c:pt>
                <c:pt idx="16">
                  <c:v>0.90500000000000003</c:v>
                </c:pt>
                <c:pt idx="17">
                  <c:v>0.90100000000000002</c:v>
                </c:pt>
                <c:pt idx="18">
                  <c:v>0.89700000000000002</c:v>
                </c:pt>
                <c:pt idx="19">
                  <c:v>0.89300000000000002</c:v>
                </c:pt>
                <c:pt idx="20">
                  <c:v>0.88900000000000001</c:v>
                </c:pt>
                <c:pt idx="21">
                  <c:v>0.88400000000000001</c:v>
                </c:pt>
                <c:pt idx="22">
                  <c:v>0.88</c:v>
                </c:pt>
                <c:pt idx="23">
                  <c:v>0.875</c:v>
                </c:pt>
                <c:pt idx="24">
                  <c:v>0.87</c:v>
                </c:pt>
                <c:pt idx="25">
                  <c:v>0.86399999999999999</c:v>
                </c:pt>
              </c:numCache>
            </c:numRef>
          </c:val>
        </c:ser>
        <c:ser>
          <c:idx val="3"/>
          <c:order val="3"/>
          <c:tx>
            <c:v>T = 50 F</c:v>
          </c:tx>
          <c:spPr>
            <a:ln w="12700">
              <a:solidFill>
                <a:srgbClr val="00FFFF"/>
              </a:solidFill>
              <a:prstDash val="solid"/>
            </a:ln>
          </c:spPr>
          <c:marker>
            <c:symbol val="x"/>
            <c:size val="5"/>
            <c:spPr>
              <a:noFill/>
              <a:ln>
                <a:solidFill>
                  <a:srgbClr val="00FFFF"/>
                </a:solidFill>
                <a:prstDash val="solid"/>
              </a:ln>
            </c:spPr>
          </c:marker>
          <c:trendline>
            <c:spPr>
              <a:ln w="25400">
                <a:solidFill>
                  <a:srgbClr val="000000"/>
                </a:solidFill>
                <a:prstDash val="solid"/>
              </a:ln>
            </c:spPr>
            <c:trendlineType val="poly"/>
            <c:order val="3"/>
          </c:trendline>
          <c:cat>
            <c:numRef>
              <c:f>'DATA - MW = 15.95 (Sp Gr= 0.55)'!$A$8:$A$33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15.95 (Sp Gr= 0.55)'!$V$8:$V$33</c:f>
              <c:numCache>
                <c:formatCode>General</c:formatCode>
                <c:ptCount val="26"/>
                <c:pt idx="0">
                  <c:v>1</c:v>
                </c:pt>
                <c:pt idx="1">
                  <c:v>0.99199999999999999</c:v>
                </c:pt>
                <c:pt idx="2">
                  <c:v>0.98599999999999999</c:v>
                </c:pt>
                <c:pt idx="3">
                  <c:v>0.98099999999999998</c:v>
                </c:pt>
                <c:pt idx="4">
                  <c:v>0.97399999999999998</c:v>
                </c:pt>
                <c:pt idx="5">
                  <c:v>0.96499999999999997</c:v>
                </c:pt>
                <c:pt idx="6">
                  <c:v>0.95599999999999996</c:v>
                </c:pt>
                <c:pt idx="7">
                  <c:v>0.95</c:v>
                </c:pt>
                <c:pt idx="8">
                  <c:v>0.94399999999999995</c:v>
                </c:pt>
                <c:pt idx="9">
                  <c:v>0.93700000000000006</c:v>
                </c:pt>
                <c:pt idx="10">
                  <c:v>0.93100000000000005</c:v>
                </c:pt>
                <c:pt idx="11">
                  <c:v>0.92400000000000004</c:v>
                </c:pt>
                <c:pt idx="12">
                  <c:v>0.91500000000000004</c:v>
                </c:pt>
                <c:pt idx="13">
                  <c:v>0.90600000000000003</c:v>
                </c:pt>
                <c:pt idx="14">
                  <c:v>0.89900000000000002</c:v>
                </c:pt>
                <c:pt idx="15">
                  <c:v>0.89200000000000002</c:v>
                </c:pt>
                <c:pt idx="16">
                  <c:v>0.88700000000000001</c:v>
                </c:pt>
                <c:pt idx="17">
                  <c:v>0.88200000000000001</c:v>
                </c:pt>
                <c:pt idx="18">
                  <c:v>0.876</c:v>
                </c:pt>
                <c:pt idx="19">
                  <c:v>0.86799999999999999</c:v>
                </c:pt>
                <c:pt idx="20">
                  <c:v>0.86</c:v>
                </c:pt>
                <c:pt idx="21">
                  <c:v>0.85899999999999999</c:v>
                </c:pt>
                <c:pt idx="22">
                  <c:v>0.85399999999999998</c:v>
                </c:pt>
                <c:pt idx="23">
                  <c:v>0.84799999999999998</c:v>
                </c:pt>
                <c:pt idx="24">
                  <c:v>0.84</c:v>
                </c:pt>
                <c:pt idx="25">
                  <c:v>0.83199999999999996</c:v>
                </c:pt>
              </c:numCache>
            </c:numRef>
          </c:val>
        </c:ser>
        <c:ser>
          <c:idx val="4"/>
          <c:order val="4"/>
          <c:tx>
            <c:v>T = 25 F</c:v>
          </c:tx>
          <c:spPr>
            <a:ln w="12700">
              <a:solidFill>
                <a:srgbClr val="800080"/>
              </a:solidFill>
              <a:prstDash val="solid"/>
            </a:ln>
          </c:spPr>
          <c:marker>
            <c:symbol val="star"/>
            <c:size val="5"/>
            <c:spPr>
              <a:noFill/>
              <a:ln>
                <a:solidFill>
                  <a:srgbClr val="800080"/>
                </a:solidFill>
                <a:prstDash val="solid"/>
              </a:ln>
            </c:spPr>
          </c:marker>
          <c:trendline>
            <c:spPr>
              <a:ln w="25400">
                <a:solidFill>
                  <a:srgbClr val="000000"/>
                </a:solidFill>
                <a:prstDash val="solid"/>
              </a:ln>
            </c:spPr>
            <c:trendlineType val="poly"/>
            <c:order val="3"/>
          </c:trendline>
          <c:cat>
            <c:numRef>
              <c:f>'DATA - MW = 15.95 (Sp Gr= 0.55)'!$A$8:$A$33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15.95 (Sp Gr= 0.55)'!$AA$8:$AA$33</c:f>
              <c:numCache>
                <c:formatCode>General</c:formatCode>
                <c:ptCount val="26"/>
                <c:pt idx="0">
                  <c:v>1</c:v>
                </c:pt>
                <c:pt idx="1">
                  <c:v>0.99</c:v>
                </c:pt>
                <c:pt idx="2">
                  <c:v>0.98599999999999999</c:v>
                </c:pt>
                <c:pt idx="3">
                  <c:v>0.98</c:v>
                </c:pt>
                <c:pt idx="4">
                  <c:v>0.97</c:v>
                </c:pt>
                <c:pt idx="5">
                  <c:v>0.96</c:v>
                </c:pt>
                <c:pt idx="6">
                  <c:v>0.95</c:v>
                </c:pt>
                <c:pt idx="7">
                  <c:v>0.94199999999999995</c:v>
                </c:pt>
                <c:pt idx="8">
                  <c:v>0.93600000000000005</c:v>
                </c:pt>
                <c:pt idx="9">
                  <c:v>0.92700000000000005</c:v>
                </c:pt>
                <c:pt idx="10">
                  <c:v>0.91900000000000004</c:v>
                </c:pt>
                <c:pt idx="11">
                  <c:v>0.90800000000000003</c:v>
                </c:pt>
                <c:pt idx="12">
                  <c:v>0.9</c:v>
                </c:pt>
                <c:pt idx="13">
                  <c:v>0.89200000000000002</c:v>
                </c:pt>
                <c:pt idx="14">
                  <c:v>0.88400000000000001</c:v>
                </c:pt>
                <c:pt idx="15">
                  <c:v>0.876</c:v>
                </c:pt>
                <c:pt idx="16">
                  <c:v>0.87</c:v>
                </c:pt>
                <c:pt idx="17">
                  <c:v>0.86099999999999999</c:v>
                </c:pt>
                <c:pt idx="18">
                  <c:v>0.85199999999999998</c:v>
                </c:pt>
                <c:pt idx="19">
                  <c:v>0.84199999999999997</c:v>
                </c:pt>
                <c:pt idx="20">
                  <c:v>0.83599999999999997</c:v>
                </c:pt>
                <c:pt idx="21">
                  <c:v>0.83</c:v>
                </c:pt>
                <c:pt idx="22">
                  <c:v>0.82399999999999995</c:v>
                </c:pt>
                <c:pt idx="23">
                  <c:v>0.81699999999999995</c:v>
                </c:pt>
                <c:pt idx="24">
                  <c:v>0.80900000000000005</c:v>
                </c:pt>
                <c:pt idx="25">
                  <c:v>0.80100000000000005</c:v>
                </c:pt>
              </c:numCache>
            </c:numRef>
          </c:val>
        </c:ser>
        <c:ser>
          <c:idx val="5"/>
          <c:order val="5"/>
          <c:tx>
            <c:v>T = 0 F</c:v>
          </c:tx>
          <c:spPr>
            <a:ln w="12700">
              <a:solidFill>
                <a:srgbClr val="800000"/>
              </a:solidFill>
              <a:prstDash val="solid"/>
            </a:ln>
          </c:spPr>
          <c:marker>
            <c:symbol val="circle"/>
            <c:size val="5"/>
            <c:spPr>
              <a:solidFill>
                <a:srgbClr val="800000"/>
              </a:solidFill>
              <a:ln>
                <a:solidFill>
                  <a:srgbClr val="800000"/>
                </a:solidFill>
                <a:prstDash val="solid"/>
              </a:ln>
            </c:spPr>
          </c:marker>
          <c:trendline>
            <c:spPr>
              <a:ln w="25400">
                <a:solidFill>
                  <a:srgbClr val="000000"/>
                </a:solidFill>
                <a:prstDash val="solid"/>
              </a:ln>
            </c:spPr>
            <c:trendlineType val="poly"/>
            <c:order val="3"/>
          </c:trendline>
          <c:cat>
            <c:numRef>
              <c:f>'DATA - MW = 15.95 (Sp Gr= 0.55)'!$A$8:$A$33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15.95 (Sp Gr= 0.55)'!$AF$8:$AF$33</c:f>
              <c:numCache>
                <c:formatCode>General</c:formatCode>
                <c:ptCount val="26"/>
                <c:pt idx="0">
                  <c:v>1</c:v>
                </c:pt>
                <c:pt idx="1">
                  <c:v>0.99</c:v>
                </c:pt>
                <c:pt idx="2">
                  <c:v>0.98499999999999999</c:v>
                </c:pt>
                <c:pt idx="3">
                  <c:v>0.97299999999999998</c:v>
                </c:pt>
                <c:pt idx="4">
                  <c:v>0.96099999999999997</c:v>
                </c:pt>
                <c:pt idx="5">
                  <c:v>0.95</c:v>
                </c:pt>
                <c:pt idx="6">
                  <c:v>0.94</c:v>
                </c:pt>
                <c:pt idx="7">
                  <c:v>0.93</c:v>
                </c:pt>
                <c:pt idx="8">
                  <c:v>0.91800000000000004</c:v>
                </c:pt>
                <c:pt idx="9">
                  <c:v>0.90500000000000003</c:v>
                </c:pt>
                <c:pt idx="10">
                  <c:v>0.89600000000000002</c:v>
                </c:pt>
                <c:pt idx="11">
                  <c:v>0.88800000000000001</c:v>
                </c:pt>
                <c:pt idx="12">
                  <c:v>0.88</c:v>
                </c:pt>
                <c:pt idx="13">
                  <c:v>0.86699999999999999</c:v>
                </c:pt>
                <c:pt idx="14">
                  <c:v>0.85699999999999998</c:v>
                </c:pt>
                <c:pt idx="15">
                  <c:v>0.84799999999999998</c:v>
                </c:pt>
                <c:pt idx="16">
                  <c:v>0.84</c:v>
                </c:pt>
                <c:pt idx="17">
                  <c:v>0.83099999999999996</c:v>
                </c:pt>
                <c:pt idx="18">
                  <c:v>0.82199999999999995</c:v>
                </c:pt>
                <c:pt idx="19">
                  <c:v>0.81</c:v>
                </c:pt>
                <c:pt idx="20">
                  <c:v>0.8</c:v>
                </c:pt>
                <c:pt idx="21">
                  <c:v>0.79400000000000004</c:v>
                </c:pt>
                <c:pt idx="22">
                  <c:v>0.78300000000000003</c:v>
                </c:pt>
                <c:pt idx="23">
                  <c:v>0.77400000000000002</c:v>
                </c:pt>
                <c:pt idx="24">
                  <c:v>0.76400000000000001</c:v>
                </c:pt>
                <c:pt idx="25">
                  <c:v>0.755</c:v>
                </c:pt>
              </c:numCache>
            </c:numRef>
          </c:val>
        </c:ser>
        <c:ser>
          <c:idx val="6"/>
          <c:order val="6"/>
          <c:tx>
            <c:v>T = 125 F</c:v>
          </c:tx>
          <c:spPr>
            <a:ln w="12700">
              <a:solidFill>
                <a:srgbClr val="008080"/>
              </a:solidFill>
              <a:prstDash val="solid"/>
            </a:ln>
          </c:spPr>
          <c:marker>
            <c:symbol val="plus"/>
            <c:size val="5"/>
            <c:spPr>
              <a:noFill/>
              <a:ln>
                <a:solidFill>
                  <a:srgbClr val="008080"/>
                </a:solidFill>
                <a:prstDash val="solid"/>
              </a:ln>
            </c:spPr>
          </c:marker>
          <c:trendline>
            <c:spPr>
              <a:ln w="25400">
                <a:solidFill>
                  <a:srgbClr val="000000"/>
                </a:solidFill>
                <a:prstDash val="solid"/>
              </a:ln>
            </c:spPr>
            <c:trendlineType val="poly"/>
            <c:order val="3"/>
          </c:trendline>
          <c:cat>
            <c:numRef>
              <c:f>'DATA - MW = 15.95 (Sp Gr= 0.55)'!$A$8:$A$33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15.95 (Sp Gr= 0.55)'!$G$8:$G$33</c:f>
              <c:numCache>
                <c:formatCode>General</c:formatCode>
                <c:ptCount val="26"/>
                <c:pt idx="0">
                  <c:v>1</c:v>
                </c:pt>
                <c:pt idx="1">
                  <c:v>0.99550000000000005</c:v>
                </c:pt>
                <c:pt idx="2">
                  <c:v>0.99199999999999999</c:v>
                </c:pt>
                <c:pt idx="3">
                  <c:v>0.98849999999999993</c:v>
                </c:pt>
                <c:pt idx="4">
                  <c:v>0.98449999999999993</c:v>
                </c:pt>
                <c:pt idx="5">
                  <c:v>0.98</c:v>
                </c:pt>
                <c:pt idx="6">
                  <c:v>0.97550000000000003</c:v>
                </c:pt>
                <c:pt idx="7">
                  <c:v>0.97150000000000003</c:v>
                </c:pt>
                <c:pt idx="8">
                  <c:v>0.96799999999999997</c:v>
                </c:pt>
                <c:pt idx="9">
                  <c:v>0.96350000000000002</c:v>
                </c:pt>
                <c:pt idx="10">
                  <c:v>0.96</c:v>
                </c:pt>
                <c:pt idx="11">
                  <c:v>0.95649999999999991</c:v>
                </c:pt>
                <c:pt idx="12">
                  <c:v>0.95199999999999996</c:v>
                </c:pt>
                <c:pt idx="13">
                  <c:v>0.94850000000000001</c:v>
                </c:pt>
                <c:pt idx="14">
                  <c:v>0.94350000000000001</c:v>
                </c:pt>
                <c:pt idx="15">
                  <c:v>0.94</c:v>
                </c:pt>
                <c:pt idx="16">
                  <c:v>0.93799999999999994</c:v>
                </c:pt>
                <c:pt idx="17">
                  <c:v>0.93399999999999994</c:v>
                </c:pt>
                <c:pt idx="18">
                  <c:v>0.92900000000000005</c:v>
                </c:pt>
                <c:pt idx="19">
                  <c:v>0.92449999999999999</c:v>
                </c:pt>
                <c:pt idx="20">
                  <c:v>0.92149999999999999</c:v>
                </c:pt>
                <c:pt idx="21">
                  <c:v>0.91850000000000009</c:v>
                </c:pt>
                <c:pt idx="22">
                  <c:v>0.91600000000000004</c:v>
                </c:pt>
                <c:pt idx="23">
                  <c:v>0.91300000000000003</c:v>
                </c:pt>
                <c:pt idx="24">
                  <c:v>0.91</c:v>
                </c:pt>
                <c:pt idx="25">
                  <c:v>0.90700000000000003</c:v>
                </c:pt>
              </c:numCache>
            </c:numRef>
          </c:val>
        </c:ser>
        <c:marker val="1"/>
        <c:axId val="142736000"/>
        <c:axId val="142228864"/>
      </c:lineChart>
      <c:catAx>
        <c:axId val="142736000"/>
        <c:scaling>
          <c:orientation val="minMax"/>
        </c:scaling>
        <c:axPos val="b"/>
        <c:title>
          <c:tx>
            <c:rich>
              <a:bodyPr/>
              <a:lstStyle/>
              <a:p>
                <a:pPr>
                  <a:defRPr sz="1000" b="1" i="0" u="none" strike="noStrike" baseline="0">
                    <a:solidFill>
                      <a:srgbClr val="000000"/>
                    </a:solidFill>
                    <a:latin typeface="Arial"/>
                    <a:ea typeface="Arial"/>
                    <a:cs typeface="Arial"/>
                  </a:defRPr>
                </a:pPr>
                <a:r>
                  <a:rPr lang="en-US"/>
                  <a:t>Pressure (psig)</a:t>
                </a:r>
              </a:p>
            </c:rich>
          </c:tx>
          <c:layout>
            <c:manualLayout>
              <c:xMode val="edge"/>
              <c:yMode val="edge"/>
              <c:x val="0.40177580466148721"/>
              <c:y val="0.94453507340946163"/>
            </c:manualLayout>
          </c:layout>
          <c:spPr>
            <a:noFill/>
            <a:ln w="25400">
              <a:noFill/>
            </a:ln>
          </c:spPr>
        </c:title>
        <c:numFmt formatCode="General" sourceLinked="1"/>
        <c:min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2228864"/>
        <c:crossesAt val="0.6500000000000028"/>
        <c:auto val="1"/>
        <c:lblAlgn val="ctr"/>
        <c:lblOffset val="100"/>
        <c:tickLblSkip val="2"/>
        <c:tickMarkSkip val="1"/>
      </c:catAx>
      <c:valAx>
        <c:axId val="142228864"/>
        <c:scaling>
          <c:orientation val="minMax"/>
          <c:min val="0.6500000000000028"/>
        </c:scaling>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Z</a:t>
                </a:r>
              </a:p>
            </c:rich>
          </c:tx>
          <c:layout>
            <c:manualLayout>
              <c:xMode val="edge"/>
              <c:yMode val="edge"/>
              <c:x val="1.2208657047724751E-2"/>
              <c:y val="0.4991843393148485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2736000"/>
        <c:crosses val="autoZero"/>
        <c:crossBetween val="between"/>
      </c:valAx>
      <c:spPr>
        <a:solidFill>
          <a:srgbClr val="FFFFFF"/>
        </a:solidFill>
        <a:ln w="12700">
          <a:solidFill>
            <a:srgbClr val="808080"/>
          </a:solidFill>
          <a:prstDash val="solid"/>
        </a:ln>
      </c:spPr>
    </c:plotArea>
    <c:legend>
      <c:legendPos val="r"/>
      <c:layout>
        <c:manualLayout>
          <c:xMode val="edge"/>
          <c:yMode val="edge"/>
          <c:x val="0.84350721420643771"/>
          <c:y val="0.26753670473083196"/>
          <c:w val="0.15205327413984471"/>
          <c:h val="0.48123980424143559"/>
        </c:manualLayout>
      </c:layout>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lang val="en-US"/>
  <c:protection/>
  <c:chart>
    <c:title>
      <c:tx>
        <c:rich>
          <a:bodyPr/>
          <a:lstStyle/>
          <a:p>
            <a:pPr>
              <a:defRPr sz="1200" b="1" i="0" u="none" strike="noStrike" baseline="0">
                <a:solidFill>
                  <a:srgbClr val="000000"/>
                </a:solidFill>
                <a:latin typeface="Arial"/>
                <a:ea typeface="Arial"/>
                <a:cs typeface="Arial"/>
              </a:defRPr>
            </a:pPr>
            <a:r>
              <a:rPr lang="en-US"/>
              <a:t>Compressibility (Sp Gr = 0.55, MW = 15.95)</a:t>
            </a:r>
          </a:p>
        </c:rich>
      </c:tx>
      <c:layout>
        <c:manualLayout>
          <c:xMode val="edge"/>
          <c:yMode val="edge"/>
          <c:x val="0.32075471698113206"/>
          <c:y val="1.9575856443719494E-2"/>
        </c:manualLayout>
      </c:layout>
      <c:spPr>
        <a:noFill/>
        <a:ln w="25400">
          <a:noFill/>
        </a:ln>
      </c:spPr>
    </c:title>
    <c:plotArea>
      <c:layout>
        <c:manualLayout>
          <c:layoutTarget val="inner"/>
          <c:xMode val="edge"/>
          <c:yMode val="edge"/>
          <c:x val="7.7691453940066935E-2"/>
          <c:y val="0.12234910277324652"/>
          <c:w val="0.76581576026637299"/>
          <c:h val="0.77324632952691652"/>
        </c:manualLayout>
      </c:layout>
      <c:lineChart>
        <c:grouping val="standard"/>
        <c:ser>
          <c:idx val="0"/>
          <c:order val="0"/>
          <c:tx>
            <c:v>T = 145</c:v>
          </c:tx>
          <c:spPr>
            <a:ln w="12700">
              <a:solidFill>
                <a:srgbClr val="000080"/>
              </a:solidFill>
              <a:prstDash val="solid"/>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poly"/>
            <c:order val="3"/>
          </c:trendline>
          <c:cat>
            <c:numRef>
              <c:f>'DATA - MW = 15.95 (Sp Gr= 0.55)'!$A$8:$A$33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15.95 (Sp Gr= 0.55)'!$C$8:$C$33</c:f>
              <c:numCache>
                <c:formatCode>General</c:formatCode>
                <c:ptCount val="26"/>
                <c:pt idx="0">
                  <c:v>1</c:v>
                </c:pt>
                <c:pt idx="1">
                  <c:v>0.99670000000000003</c:v>
                </c:pt>
                <c:pt idx="2">
                  <c:v>0.99360000000000004</c:v>
                </c:pt>
                <c:pt idx="3">
                  <c:v>0.99129999999999996</c:v>
                </c:pt>
                <c:pt idx="4">
                  <c:v>0.98809999999999998</c:v>
                </c:pt>
                <c:pt idx="5">
                  <c:v>0.98399999999999999</c:v>
                </c:pt>
                <c:pt idx="6">
                  <c:v>0.97989999999999999</c:v>
                </c:pt>
                <c:pt idx="7">
                  <c:v>0.97750000000000004</c:v>
                </c:pt>
                <c:pt idx="8">
                  <c:v>0.97439999999999993</c:v>
                </c:pt>
                <c:pt idx="9">
                  <c:v>0.97029999999999994</c:v>
                </c:pt>
                <c:pt idx="10">
                  <c:v>0.96719999999999995</c:v>
                </c:pt>
                <c:pt idx="11">
                  <c:v>0.96489999999999998</c:v>
                </c:pt>
                <c:pt idx="12">
                  <c:v>0.96079999999999999</c:v>
                </c:pt>
                <c:pt idx="13">
                  <c:v>0.9577</c:v>
                </c:pt>
                <c:pt idx="14">
                  <c:v>0.95269999999999999</c:v>
                </c:pt>
                <c:pt idx="15">
                  <c:v>0.9496</c:v>
                </c:pt>
                <c:pt idx="16">
                  <c:v>0.9476</c:v>
                </c:pt>
                <c:pt idx="17">
                  <c:v>0.94519999999999993</c:v>
                </c:pt>
                <c:pt idx="18">
                  <c:v>0.94099999999999995</c:v>
                </c:pt>
                <c:pt idx="19">
                  <c:v>0.93769999999999998</c:v>
                </c:pt>
                <c:pt idx="20">
                  <c:v>0.9355</c:v>
                </c:pt>
                <c:pt idx="21">
                  <c:v>0.93330000000000002</c:v>
                </c:pt>
                <c:pt idx="22">
                  <c:v>0.93120000000000003</c:v>
                </c:pt>
                <c:pt idx="23">
                  <c:v>0.92900000000000005</c:v>
                </c:pt>
                <c:pt idx="24">
                  <c:v>0.92600000000000005</c:v>
                </c:pt>
                <c:pt idx="25">
                  <c:v>0.92300000000000004</c:v>
                </c:pt>
              </c:numCache>
            </c:numRef>
          </c:val>
        </c:ser>
        <c:ser>
          <c:idx val="1"/>
          <c:order val="1"/>
          <c:tx>
            <c:v>T = 140</c:v>
          </c:tx>
          <c:spPr>
            <a:ln w="12700">
              <a:solidFill>
                <a:srgbClr val="FF00FF"/>
              </a:solidFill>
              <a:prstDash val="solid"/>
            </a:ln>
          </c:spPr>
          <c:marker>
            <c:symbol val="square"/>
            <c:size val="5"/>
            <c:spPr>
              <a:solidFill>
                <a:srgbClr val="FF00FF"/>
              </a:solidFill>
              <a:ln>
                <a:solidFill>
                  <a:srgbClr val="FF00FF"/>
                </a:solidFill>
                <a:prstDash val="solid"/>
              </a:ln>
            </c:spPr>
          </c:marker>
          <c:trendline>
            <c:spPr>
              <a:ln w="25400">
                <a:solidFill>
                  <a:srgbClr val="000000"/>
                </a:solidFill>
                <a:prstDash val="solid"/>
              </a:ln>
            </c:spPr>
            <c:trendlineType val="poly"/>
            <c:order val="3"/>
          </c:trendline>
          <c:cat>
            <c:numRef>
              <c:f>'DATA - MW = 15.95 (Sp Gr= 0.55)'!$A$8:$A$33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15.95 (Sp Gr= 0.55)'!$D$8:$D$33</c:f>
              <c:numCache>
                <c:formatCode>General</c:formatCode>
                <c:ptCount val="26"/>
                <c:pt idx="0">
                  <c:v>1</c:v>
                </c:pt>
                <c:pt idx="1">
                  <c:v>0.99639999999999995</c:v>
                </c:pt>
                <c:pt idx="2">
                  <c:v>0.99319999999999997</c:v>
                </c:pt>
                <c:pt idx="3">
                  <c:v>0.99060000000000004</c:v>
                </c:pt>
                <c:pt idx="4">
                  <c:v>0.98719999999999997</c:v>
                </c:pt>
                <c:pt idx="5">
                  <c:v>0.98299999999999998</c:v>
                </c:pt>
                <c:pt idx="6">
                  <c:v>0.9788</c:v>
                </c:pt>
                <c:pt idx="7">
                  <c:v>0.97599999999999998</c:v>
                </c:pt>
                <c:pt idx="8">
                  <c:v>0.9728</c:v>
                </c:pt>
                <c:pt idx="9">
                  <c:v>0.96860000000000002</c:v>
                </c:pt>
                <c:pt idx="10">
                  <c:v>0.96539999999999992</c:v>
                </c:pt>
                <c:pt idx="11">
                  <c:v>0.96279999999999999</c:v>
                </c:pt>
                <c:pt idx="12">
                  <c:v>0.95860000000000001</c:v>
                </c:pt>
                <c:pt idx="13">
                  <c:v>0.95540000000000003</c:v>
                </c:pt>
                <c:pt idx="14">
                  <c:v>0.95040000000000002</c:v>
                </c:pt>
                <c:pt idx="15">
                  <c:v>0.94719999999999993</c:v>
                </c:pt>
                <c:pt idx="16">
                  <c:v>0.94519999999999993</c:v>
                </c:pt>
                <c:pt idx="17">
                  <c:v>0.94240000000000002</c:v>
                </c:pt>
                <c:pt idx="18">
                  <c:v>0.93799999999999994</c:v>
                </c:pt>
                <c:pt idx="19">
                  <c:v>0.93440000000000001</c:v>
                </c:pt>
                <c:pt idx="20">
                  <c:v>0.93199999999999994</c:v>
                </c:pt>
                <c:pt idx="21">
                  <c:v>0.92960000000000009</c:v>
                </c:pt>
                <c:pt idx="22">
                  <c:v>0.9274</c:v>
                </c:pt>
                <c:pt idx="23">
                  <c:v>0.92500000000000004</c:v>
                </c:pt>
                <c:pt idx="24">
                  <c:v>0.92200000000000004</c:v>
                </c:pt>
                <c:pt idx="25">
                  <c:v>0.91900000000000004</c:v>
                </c:pt>
              </c:numCache>
            </c:numRef>
          </c:val>
        </c:ser>
        <c:ser>
          <c:idx val="2"/>
          <c:order val="2"/>
          <c:tx>
            <c:v>T = 135</c:v>
          </c:tx>
          <c:spPr>
            <a:ln w="12700">
              <a:solidFill>
                <a:srgbClr val="FFFF00"/>
              </a:solidFill>
              <a:prstDash val="solid"/>
            </a:ln>
          </c:spPr>
          <c:marker>
            <c:symbol val="triangle"/>
            <c:size val="5"/>
            <c:spPr>
              <a:solidFill>
                <a:srgbClr val="FFFF00"/>
              </a:solidFill>
              <a:ln>
                <a:solidFill>
                  <a:srgbClr val="FFFF00"/>
                </a:solidFill>
                <a:prstDash val="solid"/>
              </a:ln>
            </c:spPr>
          </c:marker>
          <c:trendline>
            <c:spPr>
              <a:ln w="25400">
                <a:solidFill>
                  <a:srgbClr val="000000"/>
                </a:solidFill>
                <a:prstDash val="solid"/>
              </a:ln>
            </c:spPr>
            <c:trendlineType val="poly"/>
            <c:order val="3"/>
          </c:trendline>
          <c:cat>
            <c:numRef>
              <c:f>'DATA - MW = 15.95 (Sp Gr= 0.55)'!$A$8:$A$33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15.95 (Sp Gr= 0.55)'!$E$8:$E$33</c:f>
              <c:numCache>
                <c:formatCode>General</c:formatCode>
                <c:ptCount val="26"/>
                <c:pt idx="0">
                  <c:v>1</c:v>
                </c:pt>
                <c:pt idx="1">
                  <c:v>0.99609999999999999</c:v>
                </c:pt>
                <c:pt idx="2">
                  <c:v>0.99280000000000002</c:v>
                </c:pt>
                <c:pt idx="3">
                  <c:v>0.9899</c:v>
                </c:pt>
                <c:pt idx="4">
                  <c:v>0.98629999999999995</c:v>
                </c:pt>
                <c:pt idx="5">
                  <c:v>0.98199999999999998</c:v>
                </c:pt>
                <c:pt idx="6">
                  <c:v>0.97770000000000001</c:v>
                </c:pt>
                <c:pt idx="7">
                  <c:v>0.97449999999999992</c:v>
                </c:pt>
                <c:pt idx="8">
                  <c:v>0.97119999999999995</c:v>
                </c:pt>
                <c:pt idx="9">
                  <c:v>0.96689999999999998</c:v>
                </c:pt>
                <c:pt idx="10">
                  <c:v>0.96360000000000001</c:v>
                </c:pt>
                <c:pt idx="11">
                  <c:v>0.9607</c:v>
                </c:pt>
                <c:pt idx="12">
                  <c:v>0.95639999999999992</c:v>
                </c:pt>
                <c:pt idx="13">
                  <c:v>0.95309999999999995</c:v>
                </c:pt>
                <c:pt idx="14">
                  <c:v>0.94809999999999994</c:v>
                </c:pt>
                <c:pt idx="15">
                  <c:v>0.94479999999999997</c:v>
                </c:pt>
                <c:pt idx="16">
                  <c:v>0.94279999999999997</c:v>
                </c:pt>
                <c:pt idx="17">
                  <c:v>0.93959999999999999</c:v>
                </c:pt>
                <c:pt idx="18">
                  <c:v>0.93499999999999994</c:v>
                </c:pt>
                <c:pt idx="19">
                  <c:v>0.93109999999999993</c:v>
                </c:pt>
                <c:pt idx="20">
                  <c:v>0.92849999999999999</c:v>
                </c:pt>
                <c:pt idx="21">
                  <c:v>0.92590000000000006</c:v>
                </c:pt>
                <c:pt idx="22">
                  <c:v>0.92360000000000009</c:v>
                </c:pt>
                <c:pt idx="23">
                  <c:v>0.92100000000000004</c:v>
                </c:pt>
                <c:pt idx="24">
                  <c:v>0.91800000000000004</c:v>
                </c:pt>
                <c:pt idx="25">
                  <c:v>0.91500000000000004</c:v>
                </c:pt>
              </c:numCache>
            </c:numRef>
          </c:val>
        </c:ser>
        <c:ser>
          <c:idx val="3"/>
          <c:order val="3"/>
          <c:tx>
            <c:v>T = 130</c:v>
          </c:tx>
          <c:spPr>
            <a:ln w="12700">
              <a:solidFill>
                <a:srgbClr val="00FFFF"/>
              </a:solidFill>
              <a:prstDash val="solid"/>
            </a:ln>
          </c:spPr>
          <c:marker>
            <c:symbol val="x"/>
            <c:size val="5"/>
            <c:spPr>
              <a:noFill/>
              <a:ln>
                <a:solidFill>
                  <a:srgbClr val="00FFFF"/>
                </a:solidFill>
                <a:prstDash val="solid"/>
              </a:ln>
            </c:spPr>
          </c:marker>
          <c:trendline>
            <c:spPr>
              <a:ln w="25400">
                <a:solidFill>
                  <a:srgbClr val="000000"/>
                </a:solidFill>
                <a:prstDash val="solid"/>
              </a:ln>
            </c:spPr>
            <c:trendlineType val="poly"/>
            <c:order val="3"/>
          </c:trendline>
          <c:cat>
            <c:numRef>
              <c:f>'DATA - MW = 15.95 (Sp Gr= 0.55)'!$A$8:$A$33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15.95 (Sp Gr= 0.55)'!$F$8:$F$33</c:f>
              <c:numCache>
                <c:formatCode>General</c:formatCode>
                <c:ptCount val="26"/>
                <c:pt idx="0">
                  <c:v>1</c:v>
                </c:pt>
                <c:pt idx="1">
                  <c:v>0.99580000000000002</c:v>
                </c:pt>
                <c:pt idx="2">
                  <c:v>0.99239999999999995</c:v>
                </c:pt>
                <c:pt idx="3">
                  <c:v>0.98919999999999997</c:v>
                </c:pt>
                <c:pt idx="4">
                  <c:v>0.98539999999999994</c:v>
                </c:pt>
                <c:pt idx="5">
                  <c:v>0.98099999999999998</c:v>
                </c:pt>
                <c:pt idx="6">
                  <c:v>0.97660000000000002</c:v>
                </c:pt>
                <c:pt idx="7">
                  <c:v>0.97299999999999998</c:v>
                </c:pt>
                <c:pt idx="8">
                  <c:v>0.96960000000000002</c:v>
                </c:pt>
                <c:pt idx="9">
                  <c:v>0.96519999999999995</c:v>
                </c:pt>
                <c:pt idx="10">
                  <c:v>0.96179999999999999</c:v>
                </c:pt>
                <c:pt idx="11">
                  <c:v>0.95860000000000001</c:v>
                </c:pt>
                <c:pt idx="12">
                  <c:v>0.95419999999999994</c:v>
                </c:pt>
                <c:pt idx="13">
                  <c:v>0.95079999999999998</c:v>
                </c:pt>
                <c:pt idx="14">
                  <c:v>0.94579999999999997</c:v>
                </c:pt>
                <c:pt idx="15">
                  <c:v>0.94240000000000002</c:v>
                </c:pt>
                <c:pt idx="16">
                  <c:v>0.94040000000000001</c:v>
                </c:pt>
                <c:pt idx="17">
                  <c:v>0.93679999999999997</c:v>
                </c:pt>
                <c:pt idx="18">
                  <c:v>0.93199999999999994</c:v>
                </c:pt>
                <c:pt idx="19">
                  <c:v>0.92779999999999996</c:v>
                </c:pt>
                <c:pt idx="20">
                  <c:v>0.92499999999999993</c:v>
                </c:pt>
                <c:pt idx="21">
                  <c:v>0.92220000000000002</c:v>
                </c:pt>
                <c:pt idx="22">
                  <c:v>0.91980000000000006</c:v>
                </c:pt>
                <c:pt idx="23">
                  <c:v>0.91700000000000004</c:v>
                </c:pt>
                <c:pt idx="24">
                  <c:v>0.91400000000000003</c:v>
                </c:pt>
                <c:pt idx="25">
                  <c:v>0.91100000000000003</c:v>
                </c:pt>
              </c:numCache>
            </c:numRef>
          </c:val>
        </c:ser>
        <c:ser>
          <c:idx val="4"/>
          <c:order val="4"/>
          <c:tx>
            <c:v>T = 120</c:v>
          </c:tx>
          <c:spPr>
            <a:ln w="12700">
              <a:solidFill>
                <a:srgbClr val="800080"/>
              </a:solidFill>
              <a:prstDash val="solid"/>
            </a:ln>
          </c:spPr>
          <c:marker>
            <c:symbol val="star"/>
            <c:size val="5"/>
            <c:spPr>
              <a:noFill/>
              <a:ln>
                <a:solidFill>
                  <a:srgbClr val="800080"/>
                </a:solidFill>
                <a:prstDash val="solid"/>
              </a:ln>
            </c:spPr>
          </c:marker>
          <c:trendline>
            <c:spPr>
              <a:ln w="25400">
                <a:solidFill>
                  <a:srgbClr val="000000"/>
                </a:solidFill>
                <a:prstDash val="solid"/>
              </a:ln>
            </c:spPr>
            <c:trendlineType val="poly"/>
            <c:order val="3"/>
          </c:trendline>
          <c:cat>
            <c:numRef>
              <c:f>'DATA - MW = 15.95 (Sp Gr= 0.55)'!$A$8:$A$33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15.95 (Sp Gr= 0.55)'!$H$8:$H$33</c:f>
              <c:numCache>
                <c:formatCode>General</c:formatCode>
                <c:ptCount val="26"/>
                <c:pt idx="0">
                  <c:v>1</c:v>
                </c:pt>
                <c:pt idx="1">
                  <c:v>0.99519999999999997</c:v>
                </c:pt>
                <c:pt idx="2">
                  <c:v>0.99160000000000004</c:v>
                </c:pt>
                <c:pt idx="3">
                  <c:v>0.98780000000000001</c:v>
                </c:pt>
                <c:pt idx="4">
                  <c:v>0.98360000000000003</c:v>
                </c:pt>
                <c:pt idx="5">
                  <c:v>0.97899999999999998</c:v>
                </c:pt>
                <c:pt idx="6">
                  <c:v>0.97439999999999993</c:v>
                </c:pt>
                <c:pt idx="7">
                  <c:v>0.97</c:v>
                </c:pt>
                <c:pt idx="8">
                  <c:v>0.96639999999999993</c:v>
                </c:pt>
                <c:pt idx="9">
                  <c:v>0.96179999999999999</c:v>
                </c:pt>
                <c:pt idx="10">
                  <c:v>0.95819999999999994</c:v>
                </c:pt>
                <c:pt idx="11">
                  <c:v>0.95439999999999992</c:v>
                </c:pt>
                <c:pt idx="12">
                  <c:v>0.94979999999999998</c:v>
                </c:pt>
                <c:pt idx="13">
                  <c:v>0.94620000000000004</c:v>
                </c:pt>
                <c:pt idx="14">
                  <c:v>0.94120000000000004</c:v>
                </c:pt>
                <c:pt idx="15">
                  <c:v>0.93759999999999999</c:v>
                </c:pt>
                <c:pt idx="16">
                  <c:v>0.93559999999999999</c:v>
                </c:pt>
                <c:pt idx="17">
                  <c:v>0.93120000000000003</c:v>
                </c:pt>
                <c:pt idx="18">
                  <c:v>0.92600000000000005</c:v>
                </c:pt>
                <c:pt idx="19">
                  <c:v>0.92120000000000002</c:v>
                </c:pt>
                <c:pt idx="20">
                  <c:v>0.91800000000000004</c:v>
                </c:pt>
                <c:pt idx="21">
                  <c:v>0.91480000000000006</c:v>
                </c:pt>
                <c:pt idx="22">
                  <c:v>0.91220000000000001</c:v>
                </c:pt>
                <c:pt idx="23">
                  <c:v>0.90900000000000003</c:v>
                </c:pt>
                <c:pt idx="24">
                  <c:v>0.90600000000000003</c:v>
                </c:pt>
                <c:pt idx="25">
                  <c:v>0.90300000000000002</c:v>
                </c:pt>
              </c:numCache>
            </c:numRef>
          </c:val>
        </c:ser>
        <c:ser>
          <c:idx val="5"/>
          <c:order val="5"/>
          <c:tx>
            <c:v>T = 115</c:v>
          </c:tx>
          <c:spPr>
            <a:ln w="12700">
              <a:solidFill>
                <a:srgbClr val="800000"/>
              </a:solidFill>
              <a:prstDash val="solid"/>
            </a:ln>
          </c:spPr>
          <c:marker>
            <c:symbol val="circle"/>
            <c:size val="5"/>
            <c:spPr>
              <a:solidFill>
                <a:srgbClr val="800000"/>
              </a:solidFill>
              <a:ln>
                <a:solidFill>
                  <a:srgbClr val="800000"/>
                </a:solidFill>
                <a:prstDash val="solid"/>
              </a:ln>
            </c:spPr>
          </c:marker>
          <c:trendline>
            <c:spPr>
              <a:ln w="25400">
                <a:solidFill>
                  <a:srgbClr val="000000"/>
                </a:solidFill>
                <a:prstDash val="solid"/>
              </a:ln>
            </c:spPr>
            <c:trendlineType val="poly"/>
            <c:order val="3"/>
          </c:trendline>
          <c:cat>
            <c:numRef>
              <c:f>'DATA - MW = 15.95 (Sp Gr= 0.55)'!$A$8:$A$33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15.95 (Sp Gr= 0.55)'!$I$8:$I$33</c:f>
              <c:numCache>
                <c:formatCode>General</c:formatCode>
                <c:ptCount val="26"/>
                <c:pt idx="0">
                  <c:v>1</c:v>
                </c:pt>
                <c:pt idx="1">
                  <c:v>0.99490000000000001</c:v>
                </c:pt>
                <c:pt idx="2">
                  <c:v>0.99119999999999997</c:v>
                </c:pt>
                <c:pt idx="3">
                  <c:v>0.98709999999999998</c:v>
                </c:pt>
                <c:pt idx="4">
                  <c:v>0.98270000000000002</c:v>
                </c:pt>
                <c:pt idx="5">
                  <c:v>0.97799999999999998</c:v>
                </c:pt>
                <c:pt idx="6">
                  <c:v>0.97329999999999994</c:v>
                </c:pt>
                <c:pt idx="7">
                  <c:v>0.96849999999999992</c:v>
                </c:pt>
                <c:pt idx="8">
                  <c:v>0.96479999999999999</c:v>
                </c:pt>
                <c:pt idx="9">
                  <c:v>0.96009999999999995</c:v>
                </c:pt>
                <c:pt idx="10">
                  <c:v>0.95639999999999992</c:v>
                </c:pt>
                <c:pt idx="11">
                  <c:v>0.95229999999999992</c:v>
                </c:pt>
                <c:pt idx="12">
                  <c:v>0.9476</c:v>
                </c:pt>
                <c:pt idx="13">
                  <c:v>0.94390000000000007</c:v>
                </c:pt>
                <c:pt idx="14">
                  <c:v>0.93890000000000007</c:v>
                </c:pt>
                <c:pt idx="15">
                  <c:v>0.93520000000000003</c:v>
                </c:pt>
                <c:pt idx="16">
                  <c:v>0.93320000000000003</c:v>
                </c:pt>
                <c:pt idx="17">
                  <c:v>0.9284</c:v>
                </c:pt>
                <c:pt idx="18">
                  <c:v>0.92300000000000004</c:v>
                </c:pt>
                <c:pt idx="19">
                  <c:v>0.91790000000000005</c:v>
                </c:pt>
                <c:pt idx="20">
                  <c:v>0.91449999999999998</c:v>
                </c:pt>
                <c:pt idx="21">
                  <c:v>0.91110000000000002</c:v>
                </c:pt>
                <c:pt idx="22">
                  <c:v>0.90839999999999999</c:v>
                </c:pt>
                <c:pt idx="23">
                  <c:v>0.90500000000000003</c:v>
                </c:pt>
                <c:pt idx="24">
                  <c:v>0.90200000000000002</c:v>
                </c:pt>
                <c:pt idx="25">
                  <c:v>0.89900000000000002</c:v>
                </c:pt>
              </c:numCache>
            </c:numRef>
          </c:val>
        </c:ser>
        <c:ser>
          <c:idx val="6"/>
          <c:order val="6"/>
          <c:tx>
            <c:v>T = 110</c:v>
          </c:tx>
          <c:spPr>
            <a:ln w="12700">
              <a:solidFill>
                <a:srgbClr val="008080"/>
              </a:solidFill>
              <a:prstDash val="solid"/>
            </a:ln>
          </c:spPr>
          <c:marker>
            <c:symbol val="plus"/>
            <c:size val="5"/>
            <c:spPr>
              <a:noFill/>
              <a:ln>
                <a:solidFill>
                  <a:srgbClr val="008080"/>
                </a:solidFill>
                <a:prstDash val="solid"/>
              </a:ln>
            </c:spPr>
          </c:marker>
          <c:trendline>
            <c:spPr>
              <a:ln w="25400">
                <a:solidFill>
                  <a:srgbClr val="000000"/>
                </a:solidFill>
                <a:prstDash val="solid"/>
              </a:ln>
            </c:spPr>
            <c:trendlineType val="poly"/>
            <c:order val="3"/>
          </c:trendline>
          <c:cat>
            <c:numRef>
              <c:f>'DATA - MW = 15.95 (Sp Gr= 0.55)'!$A$8:$A$33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15.95 (Sp Gr= 0.55)'!$J$8:$J$33</c:f>
              <c:numCache>
                <c:formatCode>General</c:formatCode>
                <c:ptCount val="26"/>
                <c:pt idx="0">
                  <c:v>1</c:v>
                </c:pt>
                <c:pt idx="1">
                  <c:v>0.99460000000000004</c:v>
                </c:pt>
                <c:pt idx="2">
                  <c:v>0.99080000000000001</c:v>
                </c:pt>
                <c:pt idx="3">
                  <c:v>0.98639999999999994</c:v>
                </c:pt>
                <c:pt idx="4">
                  <c:v>0.98180000000000001</c:v>
                </c:pt>
                <c:pt idx="5">
                  <c:v>0.97699999999999998</c:v>
                </c:pt>
                <c:pt idx="6">
                  <c:v>0.97219999999999995</c:v>
                </c:pt>
                <c:pt idx="7">
                  <c:v>0.96699999999999997</c:v>
                </c:pt>
                <c:pt idx="8">
                  <c:v>0.96319999999999995</c:v>
                </c:pt>
                <c:pt idx="9">
                  <c:v>0.95839999999999992</c:v>
                </c:pt>
                <c:pt idx="10">
                  <c:v>0.9546</c:v>
                </c:pt>
                <c:pt idx="11">
                  <c:v>0.95019999999999993</c:v>
                </c:pt>
                <c:pt idx="12">
                  <c:v>0.94539999999999991</c:v>
                </c:pt>
                <c:pt idx="13">
                  <c:v>0.94159999999999999</c:v>
                </c:pt>
                <c:pt idx="14">
                  <c:v>0.93659999999999999</c:v>
                </c:pt>
                <c:pt idx="15">
                  <c:v>0.93280000000000007</c:v>
                </c:pt>
                <c:pt idx="16">
                  <c:v>0.93080000000000007</c:v>
                </c:pt>
                <c:pt idx="17">
                  <c:v>0.92559999999999998</c:v>
                </c:pt>
                <c:pt idx="18">
                  <c:v>0.92</c:v>
                </c:pt>
                <c:pt idx="19">
                  <c:v>0.91459999999999997</c:v>
                </c:pt>
                <c:pt idx="20">
                  <c:v>0.91100000000000003</c:v>
                </c:pt>
                <c:pt idx="21">
                  <c:v>0.90739999999999998</c:v>
                </c:pt>
                <c:pt idx="22">
                  <c:v>0.90460000000000007</c:v>
                </c:pt>
                <c:pt idx="23">
                  <c:v>0.90100000000000002</c:v>
                </c:pt>
                <c:pt idx="24">
                  <c:v>0.89800000000000002</c:v>
                </c:pt>
                <c:pt idx="25">
                  <c:v>0.89500000000000002</c:v>
                </c:pt>
              </c:numCache>
            </c:numRef>
          </c:val>
        </c:ser>
        <c:ser>
          <c:idx val="7"/>
          <c:order val="7"/>
          <c:tx>
            <c:v>T = 105</c:v>
          </c:tx>
          <c:spPr>
            <a:ln w="12700">
              <a:solidFill>
                <a:srgbClr val="0000FF"/>
              </a:solidFill>
              <a:prstDash val="solid"/>
            </a:ln>
          </c:spPr>
          <c:marker>
            <c:symbol val="dot"/>
            <c:size val="5"/>
            <c:spPr>
              <a:noFill/>
              <a:ln>
                <a:solidFill>
                  <a:srgbClr val="0000FF"/>
                </a:solidFill>
                <a:prstDash val="solid"/>
              </a:ln>
            </c:spPr>
          </c:marker>
          <c:trendline>
            <c:spPr>
              <a:ln w="25400">
                <a:solidFill>
                  <a:srgbClr val="000000"/>
                </a:solidFill>
                <a:prstDash val="solid"/>
              </a:ln>
            </c:spPr>
            <c:trendlineType val="poly"/>
            <c:order val="3"/>
          </c:trendline>
          <c:cat>
            <c:numRef>
              <c:f>'DATA - MW = 15.95 (Sp Gr= 0.55)'!$A$8:$A$33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15.95 (Sp Gr= 0.55)'!$K$8:$K$33</c:f>
              <c:numCache>
                <c:formatCode>General</c:formatCode>
                <c:ptCount val="26"/>
                <c:pt idx="0">
                  <c:v>1</c:v>
                </c:pt>
                <c:pt idx="1">
                  <c:v>0.99429999999999996</c:v>
                </c:pt>
                <c:pt idx="2">
                  <c:v>0.99039999999999995</c:v>
                </c:pt>
                <c:pt idx="3">
                  <c:v>0.98570000000000002</c:v>
                </c:pt>
                <c:pt idx="4">
                  <c:v>0.98089999999999999</c:v>
                </c:pt>
                <c:pt idx="5">
                  <c:v>0.97599999999999998</c:v>
                </c:pt>
                <c:pt idx="6">
                  <c:v>0.97109999999999996</c:v>
                </c:pt>
                <c:pt idx="7">
                  <c:v>0.96550000000000002</c:v>
                </c:pt>
                <c:pt idx="8">
                  <c:v>0.96160000000000001</c:v>
                </c:pt>
                <c:pt idx="9">
                  <c:v>0.95669999999999999</c:v>
                </c:pt>
                <c:pt idx="10">
                  <c:v>0.95279999999999998</c:v>
                </c:pt>
                <c:pt idx="11">
                  <c:v>0.94809999999999994</c:v>
                </c:pt>
                <c:pt idx="12">
                  <c:v>0.94319999999999993</c:v>
                </c:pt>
                <c:pt idx="13">
                  <c:v>0.93930000000000002</c:v>
                </c:pt>
                <c:pt idx="14">
                  <c:v>0.93430000000000002</c:v>
                </c:pt>
                <c:pt idx="15">
                  <c:v>0.9304</c:v>
                </c:pt>
                <c:pt idx="16">
                  <c:v>0.9284</c:v>
                </c:pt>
                <c:pt idx="17">
                  <c:v>0.92280000000000006</c:v>
                </c:pt>
                <c:pt idx="18">
                  <c:v>0.91700000000000004</c:v>
                </c:pt>
                <c:pt idx="19">
                  <c:v>0.9113</c:v>
                </c:pt>
                <c:pt idx="20">
                  <c:v>0.90749999999999997</c:v>
                </c:pt>
                <c:pt idx="21">
                  <c:v>0.90370000000000006</c:v>
                </c:pt>
                <c:pt idx="22">
                  <c:v>0.90080000000000005</c:v>
                </c:pt>
                <c:pt idx="23">
                  <c:v>0.89700000000000002</c:v>
                </c:pt>
                <c:pt idx="24">
                  <c:v>0.89400000000000002</c:v>
                </c:pt>
                <c:pt idx="25">
                  <c:v>0.89100000000000001</c:v>
                </c:pt>
              </c:numCache>
            </c:numRef>
          </c:val>
        </c:ser>
        <c:ser>
          <c:idx val="8"/>
          <c:order val="8"/>
          <c:tx>
            <c:v>T = 95</c:v>
          </c:tx>
          <c:spPr>
            <a:ln w="12700">
              <a:solidFill>
                <a:srgbClr val="00CCFF"/>
              </a:solidFill>
              <a:prstDash val="solid"/>
            </a:ln>
          </c:spPr>
          <c:marker>
            <c:symbol val="dash"/>
            <c:size val="5"/>
            <c:spPr>
              <a:noFill/>
              <a:ln>
                <a:solidFill>
                  <a:srgbClr val="00CCFF"/>
                </a:solidFill>
                <a:prstDash val="solid"/>
              </a:ln>
            </c:spPr>
          </c:marker>
          <c:trendline>
            <c:spPr>
              <a:ln w="25400">
                <a:solidFill>
                  <a:srgbClr val="000000"/>
                </a:solidFill>
                <a:prstDash val="solid"/>
              </a:ln>
            </c:spPr>
            <c:trendlineType val="poly"/>
            <c:order val="3"/>
          </c:trendline>
          <c:cat>
            <c:numRef>
              <c:f>'DATA - MW = 15.95 (Sp Gr= 0.55)'!$A$8:$A$33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15.95 (Sp Gr= 0.55)'!$M$8:$M$33</c:f>
              <c:numCache>
                <c:formatCode>General</c:formatCode>
                <c:ptCount val="26"/>
                <c:pt idx="0">
                  <c:v>1</c:v>
                </c:pt>
                <c:pt idx="1">
                  <c:v>0.99380000000000002</c:v>
                </c:pt>
                <c:pt idx="2">
                  <c:v>0.98939999999999995</c:v>
                </c:pt>
                <c:pt idx="3">
                  <c:v>0.98419999999999996</c:v>
                </c:pt>
                <c:pt idx="4">
                  <c:v>0.97899999999999998</c:v>
                </c:pt>
                <c:pt idx="5">
                  <c:v>0.97399999999999998</c:v>
                </c:pt>
                <c:pt idx="6">
                  <c:v>0.96879999999999999</c:v>
                </c:pt>
                <c:pt idx="7">
                  <c:v>0.96279999999999999</c:v>
                </c:pt>
                <c:pt idx="8">
                  <c:v>0.95839999999999992</c:v>
                </c:pt>
                <c:pt idx="9">
                  <c:v>0.95339999999999991</c:v>
                </c:pt>
                <c:pt idx="10">
                  <c:v>0.94879999999999998</c:v>
                </c:pt>
                <c:pt idx="11">
                  <c:v>0.94419999999999993</c:v>
                </c:pt>
                <c:pt idx="12">
                  <c:v>0.93899999999999995</c:v>
                </c:pt>
                <c:pt idx="13">
                  <c:v>0.93480000000000008</c:v>
                </c:pt>
                <c:pt idx="14">
                  <c:v>0.92960000000000009</c:v>
                </c:pt>
                <c:pt idx="15">
                  <c:v>0.92460000000000009</c:v>
                </c:pt>
                <c:pt idx="16">
                  <c:v>0.92180000000000006</c:v>
                </c:pt>
                <c:pt idx="17">
                  <c:v>0.91620000000000001</c:v>
                </c:pt>
                <c:pt idx="18">
                  <c:v>0.91060000000000008</c:v>
                </c:pt>
                <c:pt idx="19">
                  <c:v>0.90500000000000003</c:v>
                </c:pt>
                <c:pt idx="20">
                  <c:v>0.90100000000000002</c:v>
                </c:pt>
                <c:pt idx="21">
                  <c:v>0.89680000000000004</c:v>
                </c:pt>
                <c:pt idx="22">
                  <c:v>0.89360000000000006</c:v>
                </c:pt>
                <c:pt idx="23">
                  <c:v>0.88939999999999997</c:v>
                </c:pt>
                <c:pt idx="24">
                  <c:v>0.88600000000000001</c:v>
                </c:pt>
                <c:pt idx="25">
                  <c:v>0.88239999999999996</c:v>
                </c:pt>
              </c:numCache>
            </c:numRef>
          </c:val>
        </c:ser>
        <c:ser>
          <c:idx val="9"/>
          <c:order val="9"/>
          <c:tx>
            <c:v>T = 90</c:v>
          </c:tx>
          <c:spPr>
            <a:ln w="12700">
              <a:solidFill>
                <a:srgbClr val="CCFFFF"/>
              </a:solidFill>
              <a:prstDash val="solid"/>
            </a:ln>
          </c:spPr>
          <c:marker>
            <c:symbol val="diamond"/>
            <c:size val="5"/>
            <c:spPr>
              <a:solidFill>
                <a:srgbClr val="CCFFFF"/>
              </a:solidFill>
              <a:ln>
                <a:solidFill>
                  <a:srgbClr val="CCFFFF"/>
                </a:solidFill>
                <a:prstDash val="solid"/>
              </a:ln>
            </c:spPr>
          </c:marker>
          <c:trendline>
            <c:spPr>
              <a:ln w="25400">
                <a:solidFill>
                  <a:srgbClr val="000000"/>
                </a:solidFill>
                <a:prstDash val="solid"/>
              </a:ln>
            </c:spPr>
            <c:trendlineType val="poly"/>
            <c:order val="3"/>
          </c:trendline>
          <c:cat>
            <c:numRef>
              <c:f>'DATA - MW = 15.95 (Sp Gr= 0.55)'!$A$8:$A$33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15.95 (Sp Gr= 0.55)'!$N$8:$N$33</c:f>
              <c:numCache>
                <c:formatCode>General</c:formatCode>
                <c:ptCount val="26"/>
                <c:pt idx="0">
                  <c:v>1</c:v>
                </c:pt>
                <c:pt idx="1">
                  <c:v>0.99360000000000004</c:v>
                </c:pt>
                <c:pt idx="2">
                  <c:v>0.98880000000000001</c:v>
                </c:pt>
                <c:pt idx="3">
                  <c:v>0.98339999999999994</c:v>
                </c:pt>
                <c:pt idx="4">
                  <c:v>0.97799999999999998</c:v>
                </c:pt>
                <c:pt idx="5">
                  <c:v>0.97299999999999998</c:v>
                </c:pt>
                <c:pt idx="6">
                  <c:v>0.96760000000000002</c:v>
                </c:pt>
                <c:pt idx="7">
                  <c:v>0.96160000000000001</c:v>
                </c:pt>
                <c:pt idx="8">
                  <c:v>0.95679999999999998</c:v>
                </c:pt>
                <c:pt idx="9">
                  <c:v>0.95179999999999998</c:v>
                </c:pt>
                <c:pt idx="10">
                  <c:v>0.9466</c:v>
                </c:pt>
                <c:pt idx="11">
                  <c:v>0.94240000000000002</c:v>
                </c:pt>
                <c:pt idx="12">
                  <c:v>0.93699999999999994</c:v>
                </c:pt>
                <c:pt idx="13">
                  <c:v>0.9326000000000001</c:v>
                </c:pt>
                <c:pt idx="14">
                  <c:v>0.92720000000000002</c:v>
                </c:pt>
                <c:pt idx="15">
                  <c:v>0.92120000000000002</c:v>
                </c:pt>
                <c:pt idx="16">
                  <c:v>0.91760000000000008</c:v>
                </c:pt>
                <c:pt idx="17">
                  <c:v>0.91239999999999999</c:v>
                </c:pt>
                <c:pt idx="18">
                  <c:v>0.90720000000000001</c:v>
                </c:pt>
                <c:pt idx="19">
                  <c:v>0.90200000000000002</c:v>
                </c:pt>
                <c:pt idx="20">
                  <c:v>0.89800000000000002</c:v>
                </c:pt>
                <c:pt idx="21">
                  <c:v>0.89360000000000006</c:v>
                </c:pt>
                <c:pt idx="22">
                  <c:v>0.89019999999999999</c:v>
                </c:pt>
                <c:pt idx="23">
                  <c:v>0.88580000000000003</c:v>
                </c:pt>
                <c:pt idx="24">
                  <c:v>0.88200000000000001</c:v>
                </c:pt>
                <c:pt idx="25">
                  <c:v>0.87780000000000002</c:v>
                </c:pt>
              </c:numCache>
            </c:numRef>
          </c:val>
        </c:ser>
        <c:ser>
          <c:idx val="10"/>
          <c:order val="10"/>
          <c:tx>
            <c:v>T = 85</c:v>
          </c:tx>
          <c:spPr>
            <a:ln w="12700">
              <a:solidFill>
                <a:srgbClr val="CCFFCC"/>
              </a:solidFill>
              <a:prstDash val="solid"/>
            </a:ln>
          </c:spPr>
          <c:marker>
            <c:symbol val="square"/>
            <c:size val="5"/>
            <c:spPr>
              <a:solidFill>
                <a:srgbClr val="CCFFCC"/>
              </a:solidFill>
              <a:ln>
                <a:solidFill>
                  <a:srgbClr val="CCFFCC"/>
                </a:solidFill>
                <a:prstDash val="solid"/>
              </a:ln>
            </c:spPr>
          </c:marker>
          <c:trendline>
            <c:spPr>
              <a:ln w="25400">
                <a:solidFill>
                  <a:srgbClr val="000000"/>
                </a:solidFill>
                <a:prstDash val="solid"/>
              </a:ln>
            </c:spPr>
            <c:trendlineType val="poly"/>
            <c:order val="3"/>
          </c:trendline>
          <c:cat>
            <c:numRef>
              <c:f>'DATA - MW = 15.95 (Sp Gr= 0.55)'!$A$8:$A$33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15.95 (Sp Gr= 0.55)'!$O$8:$O$33</c:f>
              <c:numCache>
                <c:formatCode>General</c:formatCode>
                <c:ptCount val="26"/>
                <c:pt idx="0">
                  <c:v>1</c:v>
                </c:pt>
                <c:pt idx="1">
                  <c:v>0.99339999999999995</c:v>
                </c:pt>
                <c:pt idx="2">
                  <c:v>0.98819999999999997</c:v>
                </c:pt>
                <c:pt idx="3">
                  <c:v>0.98260000000000003</c:v>
                </c:pt>
                <c:pt idx="4">
                  <c:v>0.97699999999999998</c:v>
                </c:pt>
                <c:pt idx="5">
                  <c:v>0.97199999999999998</c:v>
                </c:pt>
                <c:pt idx="6">
                  <c:v>0.96639999999999993</c:v>
                </c:pt>
                <c:pt idx="7">
                  <c:v>0.96039999999999992</c:v>
                </c:pt>
                <c:pt idx="8">
                  <c:v>0.95519999999999994</c:v>
                </c:pt>
                <c:pt idx="9">
                  <c:v>0.95019999999999993</c:v>
                </c:pt>
                <c:pt idx="10">
                  <c:v>0.94439999999999991</c:v>
                </c:pt>
                <c:pt idx="11">
                  <c:v>0.94059999999999999</c:v>
                </c:pt>
                <c:pt idx="12">
                  <c:v>0.93500000000000005</c:v>
                </c:pt>
                <c:pt idx="13">
                  <c:v>0.9304</c:v>
                </c:pt>
                <c:pt idx="14">
                  <c:v>0.92480000000000007</c:v>
                </c:pt>
                <c:pt idx="15">
                  <c:v>0.91780000000000006</c:v>
                </c:pt>
                <c:pt idx="16">
                  <c:v>0.91339999999999999</c:v>
                </c:pt>
                <c:pt idx="17">
                  <c:v>0.90860000000000007</c:v>
                </c:pt>
                <c:pt idx="18">
                  <c:v>0.90380000000000005</c:v>
                </c:pt>
                <c:pt idx="19">
                  <c:v>0.89900000000000002</c:v>
                </c:pt>
                <c:pt idx="20">
                  <c:v>0.89500000000000002</c:v>
                </c:pt>
                <c:pt idx="21">
                  <c:v>0.89039999999999997</c:v>
                </c:pt>
                <c:pt idx="22">
                  <c:v>0.88680000000000003</c:v>
                </c:pt>
                <c:pt idx="23">
                  <c:v>0.88219999999999998</c:v>
                </c:pt>
                <c:pt idx="24">
                  <c:v>0.878</c:v>
                </c:pt>
                <c:pt idx="25">
                  <c:v>0.87319999999999998</c:v>
                </c:pt>
              </c:numCache>
            </c:numRef>
          </c:val>
        </c:ser>
        <c:ser>
          <c:idx val="11"/>
          <c:order val="11"/>
          <c:tx>
            <c:v>T = 80</c:v>
          </c:tx>
          <c:spPr>
            <a:ln w="12700">
              <a:solidFill>
                <a:srgbClr val="FFFF99"/>
              </a:solidFill>
              <a:prstDash val="solid"/>
            </a:ln>
          </c:spPr>
          <c:marker>
            <c:symbol val="triangle"/>
            <c:size val="5"/>
            <c:spPr>
              <a:solidFill>
                <a:srgbClr val="FFFF99"/>
              </a:solidFill>
              <a:ln>
                <a:solidFill>
                  <a:srgbClr val="FFFF99"/>
                </a:solidFill>
                <a:prstDash val="solid"/>
              </a:ln>
            </c:spPr>
          </c:marker>
          <c:trendline>
            <c:spPr>
              <a:ln w="25400">
                <a:solidFill>
                  <a:srgbClr val="000000"/>
                </a:solidFill>
                <a:prstDash val="solid"/>
              </a:ln>
            </c:spPr>
            <c:trendlineType val="poly"/>
            <c:order val="3"/>
          </c:trendline>
          <c:cat>
            <c:numRef>
              <c:f>'DATA - MW = 15.95 (Sp Gr= 0.55)'!$A$8:$A$33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15.95 (Sp Gr= 0.55)'!$P$8:$P$33</c:f>
              <c:numCache>
                <c:formatCode>General</c:formatCode>
                <c:ptCount val="26"/>
                <c:pt idx="0">
                  <c:v>1</c:v>
                </c:pt>
                <c:pt idx="1">
                  <c:v>0.99319999999999997</c:v>
                </c:pt>
                <c:pt idx="2">
                  <c:v>0.98760000000000003</c:v>
                </c:pt>
                <c:pt idx="3">
                  <c:v>0.98180000000000001</c:v>
                </c:pt>
                <c:pt idx="4">
                  <c:v>0.97599999999999998</c:v>
                </c:pt>
                <c:pt idx="5">
                  <c:v>0.97099999999999997</c:v>
                </c:pt>
                <c:pt idx="6">
                  <c:v>0.96519999999999995</c:v>
                </c:pt>
                <c:pt idx="7">
                  <c:v>0.95919999999999994</c:v>
                </c:pt>
                <c:pt idx="8">
                  <c:v>0.9536</c:v>
                </c:pt>
                <c:pt idx="9">
                  <c:v>0.9486</c:v>
                </c:pt>
                <c:pt idx="10">
                  <c:v>0.94219999999999993</c:v>
                </c:pt>
                <c:pt idx="11">
                  <c:v>0.93880000000000008</c:v>
                </c:pt>
                <c:pt idx="12">
                  <c:v>0.93300000000000005</c:v>
                </c:pt>
                <c:pt idx="13">
                  <c:v>0.92820000000000003</c:v>
                </c:pt>
                <c:pt idx="14">
                  <c:v>0.9224</c:v>
                </c:pt>
                <c:pt idx="15">
                  <c:v>0.91439999999999999</c:v>
                </c:pt>
                <c:pt idx="16">
                  <c:v>0.90920000000000001</c:v>
                </c:pt>
                <c:pt idx="17">
                  <c:v>0.90480000000000005</c:v>
                </c:pt>
                <c:pt idx="18">
                  <c:v>0.90039999999999998</c:v>
                </c:pt>
                <c:pt idx="19">
                  <c:v>0.89600000000000002</c:v>
                </c:pt>
                <c:pt idx="20">
                  <c:v>0.89200000000000002</c:v>
                </c:pt>
                <c:pt idx="21">
                  <c:v>0.88719999999999999</c:v>
                </c:pt>
                <c:pt idx="22">
                  <c:v>0.88339999999999996</c:v>
                </c:pt>
                <c:pt idx="23">
                  <c:v>0.87860000000000005</c:v>
                </c:pt>
                <c:pt idx="24">
                  <c:v>0.874</c:v>
                </c:pt>
                <c:pt idx="25">
                  <c:v>0.86860000000000004</c:v>
                </c:pt>
              </c:numCache>
            </c:numRef>
          </c:val>
        </c:ser>
        <c:ser>
          <c:idx val="12"/>
          <c:order val="12"/>
          <c:tx>
            <c:v>T = 70</c:v>
          </c:tx>
          <c:spPr>
            <a:ln w="12700">
              <a:solidFill>
                <a:srgbClr val="99CCFF"/>
              </a:solidFill>
              <a:prstDash val="solid"/>
            </a:ln>
          </c:spPr>
          <c:marker>
            <c:symbol val="x"/>
            <c:size val="5"/>
            <c:spPr>
              <a:noFill/>
              <a:ln>
                <a:solidFill>
                  <a:srgbClr val="99CCFF"/>
                </a:solidFill>
                <a:prstDash val="solid"/>
              </a:ln>
            </c:spPr>
          </c:marker>
          <c:trendline>
            <c:spPr>
              <a:ln w="25400">
                <a:solidFill>
                  <a:srgbClr val="000000"/>
                </a:solidFill>
                <a:prstDash val="solid"/>
              </a:ln>
            </c:spPr>
            <c:trendlineType val="poly"/>
            <c:order val="3"/>
          </c:trendline>
          <c:cat>
            <c:numRef>
              <c:f>'DATA - MW = 15.95 (Sp Gr= 0.55)'!$A$8:$A$33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15.95 (Sp Gr= 0.55)'!$R$8:$R$33</c:f>
              <c:numCache>
                <c:formatCode>General</c:formatCode>
                <c:ptCount val="26"/>
                <c:pt idx="0">
                  <c:v>1</c:v>
                </c:pt>
                <c:pt idx="1">
                  <c:v>0.99280000000000002</c:v>
                </c:pt>
                <c:pt idx="2">
                  <c:v>0.98680000000000001</c:v>
                </c:pt>
                <c:pt idx="3">
                  <c:v>0.98099999999999998</c:v>
                </c:pt>
                <c:pt idx="4">
                  <c:v>0.9748</c:v>
                </c:pt>
                <c:pt idx="5">
                  <c:v>0.96899999999999997</c:v>
                </c:pt>
                <c:pt idx="6">
                  <c:v>0.96239999999999992</c:v>
                </c:pt>
                <c:pt idx="7">
                  <c:v>0.95639999999999992</c:v>
                </c:pt>
                <c:pt idx="8">
                  <c:v>0.95039999999999991</c:v>
                </c:pt>
                <c:pt idx="9">
                  <c:v>0.94499999999999995</c:v>
                </c:pt>
                <c:pt idx="10">
                  <c:v>0.93819999999999992</c:v>
                </c:pt>
                <c:pt idx="11">
                  <c:v>0.93440000000000001</c:v>
                </c:pt>
                <c:pt idx="12">
                  <c:v>0.92780000000000007</c:v>
                </c:pt>
                <c:pt idx="13">
                  <c:v>0.92200000000000004</c:v>
                </c:pt>
                <c:pt idx="14">
                  <c:v>0.91580000000000006</c:v>
                </c:pt>
                <c:pt idx="15">
                  <c:v>0.90720000000000001</c:v>
                </c:pt>
                <c:pt idx="16">
                  <c:v>0.90139999999999998</c:v>
                </c:pt>
                <c:pt idx="17">
                  <c:v>0.8972</c:v>
                </c:pt>
                <c:pt idx="18">
                  <c:v>0.89280000000000004</c:v>
                </c:pt>
                <c:pt idx="19">
                  <c:v>0.88800000000000001</c:v>
                </c:pt>
                <c:pt idx="20">
                  <c:v>0.88319999999999999</c:v>
                </c:pt>
                <c:pt idx="21">
                  <c:v>0.879</c:v>
                </c:pt>
                <c:pt idx="22">
                  <c:v>0.87480000000000002</c:v>
                </c:pt>
                <c:pt idx="23">
                  <c:v>0.86960000000000004</c:v>
                </c:pt>
                <c:pt idx="24">
                  <c:v>0.86399999999999999</c:v>
                </c:pt>
                <c:pt idx="25">
                  <c:v>0.85760000000000003</c:v>
                </c:pt>
              </c:numCache>
            </c:numRef>
          </c:val>
        </c:ser>
        <c:ser>
          <c:idx val="13"/>
          <c:order val="13"/>
          <c:tx>
            <c:v>T = 65</c:v>
          </c:tx>
          <c:spPr>
            <a:ln w="12700">
              <a:solidFill>
                <a:srgbClr val="FF99CC"/>
              </a:solidFill>
              <a:prstDash val="solid"/>
            </a:ln>
          </c:spPr>
          <c:marker>
            <c:symbol val="star"/>
            <c:size val="5"/>
            <c:spPr>
              <a:noFill/>
              <a:ln>
                <a:solidFill>
                  <a:srgbClr val="FF99CC"/>
                </a:solidFill>
                <a:prstDash val="solid"/>
              </a:ln>
            </c:spPr>
          </c:marker>
          <c:trendline>
            <c:spPr>
              <a:ln w="25400">
                <a:solidFill>
                  <a:srgbClr val="000000"/>
                </a:solidFill>
                <a:prstDash val="solid"/>
              </a:ln>
            </c:spPr>
            <c:trendlineType val="poly"/>
            <c:order val="3"/>
          </c:trendline>
          <c:cat>
            <c:numRef>
              <c:f>'DATA - MW = 15.95 (Sp Gr= 0.55)'!$A$8:$A$33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15.95 (Sp Gr= 0.55)'!$S$8:$S$33</c:f>
              <c:numCache>
                <c:formatCode>General</c:formatCode>
                <c:ptCount val="26"/>
                <c:pt idx="0">
                  <c:v>1</c:v>
                </c:pt>
                <c:pt idx="1">
                  <c:v>0.99260000000000004</c:v>
                </c:pt>
                <c:pt idx="2">
                  <c:v>0.98660000000000003</c:v>
                </c:pt>
                <c:pt idx="3">
                  <c:v>0.98099999999999998</c:v>
                </c:pt>
                <c:pt idx="4">
                  <c:v>0.97460000000000002</c:v>
                </c:pt>
                <c:pt idx="5">
                  <c:v>0.96799999999999997</c:v>
                </c:pt>
                <c:pt idx="6">
                  <c:v>0.96079999999999999</c:v>
                </c:pt>
                <c:pt idx="7">
                  <c:v>0.95479999999999998</c:v>
                </c:pt>
                <c:pt idx="8">
                  <c:v>0.94879999999999998</c:v>
                </c:pt>
                <c:pt idx="9">
                  <c:v>0.94299999999999995</c:v>
                </c:pt>
                <c:pt idx="10">
                  <c:v>0.93640000000000001</c:v>
                </c:pt>
                <c:pt idx="11">
                  <c:v>0.93180000000000007</c:v>
                </c:pt>
                <c:pt idx="12">
                  <c:v>0.92460000000000009</c:v>
                </c:pt>
                <c:pt idx="13">
                  <c:v>0.91800000000000004</c:v>
                </c:pt>
                <c:pt idx="14">
                  <c:v>0.91160000000000008</c:v>
                </c:pt>
                <c:pt idx="15">
                  <c:v>0.90339999999999998</c:v>
                </c:pt>
                <c:pt idx="16">
                  <c:v>0.89780000000000004</c:v>
                </c:pt>
                <c:pt idx="17">
                  <c:v>0.89339999999999997</c:v>
                </c:pt>
                <c:pt idx="18">
                  <c:v>0.88860000000000006</c:v>
                </c:pt>
                <c:pt idx="19">
                  <c:v>0.88300000000000001</c:v>
                </c:pt>
                <c:pt idx="20">
                  <c:v>0.87739999999999996</c:v>
                </c:pt>
                <c:pt idx="21">
                  <c:v>0.874</c:v>
                </c:pt>
                <c:pt idx="22">
                  <c:v>0.86960000000000004</c:v>
                </c:pt>
                <c:pt idx="23">
                  <c:v>0.86419999999999997</c:v>
                </c:pt>
                <c:pt idx="24">
                  <c:v>0.85799999999999998</c:v>
                </c:pt>
                <c:pt idx="25">
                  <c:v>0.85119999999999996</c:v>
                </c:pt>
              </c:numCache>
            </c:numRef>
          </c:val>
        </c:ser>
        <c:ser>
          <c:idx val="14"/>
          <c:order val="14"/>
          <c:tx>
            <c:v>T = 60</c:v>
          </c:tx>
          <c:spPr>
            <a:ln w="12700">
              <a:solidFill>
                <a:srgbClr val="CC99FF"/>
              </a:solidFill>
              <a:prstDash val="solid"/>
            </a:ln>
          </c:spPr>
          <c:marker>
            <c:symbol val="circle"/>
            <c:size val="5"/>
            <c:spPr>
              <a:solidFill>
                <a:srgbClr val="CC99FF"/>
              </a:solidFill>
              <a:ln>
                <a:solidFill>
                  <a:srgbClr val="CC99FF"/>
                </a:solidFill>
                <a:prstDash val="solid"/>
              </a:ln>
            </c:spPr>
          </c:marker>
          <c:trendline>
            <c:spPr>
              <a:ln w="25400">
                <a:solidFill>
                  <a:srgbClr val="000000"/>
                </a:solidFill>
                <a:prstDash val="solid"/>
              </a:ln>
            </c:spPr>
            <c:trendlineType val="poly"/>
            <c:order val="3"/>
          </c:trendline>
          <c:cat>
            <c:numRef>
              <c:f>'DATA - MW = 15.95 (Sp Gr= 0.55)'!$A$8:$A$33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15.95 (Sp Gr= 0.55)'!$T$8:$T$33</c:f>
              <c:numCache>
                <c:formatCode>General</c:formatCode>
                <c:ptCount val="26"/>
                <c:pt idx="0">
                  <c:v>1</c:v>
                </c:pt>
                <c:pt idx="1">
                  <c:v>0.99239999999999995</c:v>
                </c:pt>
                <c:pt idx="2">
                  <c:v>0.98639999999999994</c:v>
                </c:pt>
                <c:pt idx="3">
                  <c:v>0.98099999999999998</c:v>
                </c:pt>
                <c:pt idx="4">
                  <c:v>0.97439999999999993</c:v>
                </c:pt>
                <c:pt idx="5">
                  <c:v>0.96699999999999997</c:v>
                </c:pt>
                <c:pt idx="6">
                  <c:v>0.95919999999999994</c:v>
                </c:pt>
                <c:pt idx="7">
                  <c:v>0.95319999999999994</c:v>
                </c:pt>
                <c:pt idx="8">
                  <c:v>0.94719999999999993</c:v>
                </c:pt>
                <c:pt idx="9">
                  <c:v>0.94100000000000006</c:v>
                </c:pt>
                <c:pt idx="10">
                  <c:v>0.93459999999999999</c:v>
                </c:pt>
                <c:pt idx="11">
                  <c:v>0.92920000000000003</c:v>
                </c:pt>
                <c:pt idx="12">
                  <c:v>0.9214</c:v>
                </c:pt>
                <c:pt idx="13">
                  <c:v>0.91400000000000003</c:v>
                </c:pt>
                <c:pt idx="14">
                  <c:v>0.90739999999999998</c:v>
                </c:pt>
                <c:pt idx="15">
                  <c:v>0.89960000000000007</c:v>
                </c:pt>
                <c:pt idx="16">
                  <c:v>0.89419999999999999</c:v>
                </c:pt>
                <c:pt idx="17">
                  <c:v>0.88960000000000006</c:v>
                </c:pt>
                <c:pt idx="18">
                  <c:v>0.88439999999999996</c:v>
                </c:pt>
                <c:pt idx="19">
                  <c:v>0.878</c:v>
                </c:pt>
                <c:pt idx="20">
                  <c:v>0.87160000000000004</c:v>
                </c:pt>
                <c:pt idx="21">
                  <c:v>0.86899999999999999</c:v>
                </c:pt>
                <c:pt idx="22">
                  <c:v>0.86439999999999995</c:v>
                </c:pt>
                <c:pt idx="23">
                  <c:v>0.85880000000000001</c:v>
                </c:pt>
                <c:pt idx="24">
                  <c:v>0.85199999999999998</c:v>
                </c:pt>
                <c:pt idx="25">
                  <c:v>0.8448</c:v>
                </c:pt>
              </c:numCache>
            </c:numRef>
          </c:val>
        </c:ser>
        <c:ser>
          <c:idx val="15"/>
          <c:order val="15"/>
          <c:tx>
            <c:v>T = 55</c:v>
          </c:tx>
          <c:spPr>
            <a:ln w="12700">
              <a:solidFill>
                <a:srgbClr val="FFCC99"/>
              </a:solidFill>
              <a:prstDash val="solid"/>
            </a:ln>
          </c:spPr>
          <c:marker>
            <c:symbol val="plus"/>
            <c:size val="5"/>
            <c:spPr>
              <a:noFill/>
              <a:ln>
                <a:solidFill>
                  <a:srgbClr val="FFCC99"/>
                </a:solidFill>
                <a:prstDash val="solid"/>
              </a:ln>
            </c:spPr>
          </c:marker>
          <c:trendline>
            <c:spPr>
              <a:ln w="25400">
                <a:solidFill>
                  <a:srgbClr val="000000"/>
                </a:solidFill>
                <a:prstDash val="solid"/>
              </a:ln>
            </c:spPr>
            <c:trendlineType val="poly"/>
            <c:order val="3"/>
          </c:trendline>
          <c:cat>
            <c:numRef>
              <c:f>'DATA - MW = 15.95 (Sp Gr= 0.55)'!$A$8:$A$33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15.95 (Sp Gr= 0.55)'!$U$8:$U$33</c:f>
              <c:numCache>
                <c:formatCode>General</c:formatCode>
                <c:ptCount val="26"/>
                <c:pt idx="0">
                  <c:v>1</c:v>
                </c:pt>
                <c:pt idx="1">
                  <c:v>0.99219999999999997</c:v>
                </c:pt>
                <c:pt idx="2">
                  <c:v>0.98619999999999997</c:v>
                </c:pt>
                <c:pt idx="3">
                  <c:v>0.98099999999999998</c:v>
                </c:pt>
                <c:pt idx="4">
                  <c:v>0.97419999999999995</c:v>
                </c:pt>
                <c:pt idx="5">
                  <c:v>0.96599999999999997</c:v>
                </c:pt>
                <c:pt idx="6">
                  <c:v>0.95760000000000001</c:v>
                </c:pt>
                <c:pt idx="7">
                  <c:v>0.9516</c:v>
                </c:pt>
                <c:pt idx="8">
                  <c:v>0.9456</c:v>
                </c:pt>
                <c:pt idx="9">
                  <c:v>0.93900000000000006</c:v>
                </c:pt>
                <c:pt idx="10">
                  <c:v>0.93280000000000007</c:v>
                </c:pt>
                <c:pt idx="11">
                  <c:v>0.92660000000000009</c:v>
                </c:pt>
                <c:pt idx="12">
                  <c:v>0.91820000000000002</c:v>
                </c:pt>
                <c:pt idx="13">
                  <c:v>0.91</c:v>
                </c:pt>
                <c:pt idx="14">
                  <c:v>0.9032</c:v>
                </c:pt>
                <c:pt idx="15">
                  <c:v>0.89580000000000004</c:v>
                </c:pt>
                <c:pt idx="16">
                  <c:v>0.89060000000000006</c:v>
                </c:pt>
                <c:pt idx="17">
                  <c:v>0.88580000000000003</c:v>
                </c:pt>
                <c:pt idx="18">
                  <c:v>0.88019999999999998</c:v>
                </c:pt>
                <c:pt idx="19">
                  <c:v>0.873</c:v>
                </c:pt>
                <c:pt idx="20">
                  <c:v>0.86580000000000001</c:v>
                </c:pt>
                <c:pt idx="21">
                  <c:v>0.86399999999999999</c:v>
                </c:pt>
                <c:pt idx="22">
                  <c:v>0.85919999999999996</c:v>
                </c:pt>
                <c:pt idx="23">
                  <c:v>0.85339999999999994</c:v>
                </c:pt>
                <c:pt idx="24">
                  <c:v>0.84599999999999997</c:v>
                </c:pt>
                <c:pt idx="25">
                  <c:v>0.83839999999999992</c:v>
                </c:pt>
              </c:numCache>
            </c:numRef>
          </c:val>
        </c:ser>
        <c:ser>
          <c:idx val="16"/>
          <c:order val="16"/>
          <c:tx>
            <c:v>T = 45</c:v>
          </c:tx>
          <c:spPr>
            <a:ln w="12700">
              <a:solidFill>
                <a:srgbClr val="3366FF"/>
              </a:solidFill>
              <a:prstDash val="solid"/>
            </a:ln>
          </c:spPr>
          <c:marker>
            <c:symbol val="dot"/>
            <c:size val="5"/>
            <c:spPr>
              <a:noFill/>
              <a:ln>
                <a:solidFill>
                  <a:srgbClr val="3366FF"/>
                </a:solidFill>
                <a:prstDash val="solid"/>
              </a:ln>
            </c:spPr>
          </c:marker>
          <c:trendline>
            <c:spPr>
              <a:ln w="25400">
                <a:solidFill>
                  <a:srgbClr val="000000"/>
                </a:solidFill>
                <a:prstDash val="solid"/>
              </a:ln>
            </c:spPr>
            <c:trendlineType val="poly"/>
            <c:order val="3"/>
          </c:trendline>
          <c:cat>
            <c:numRef>
              <c:f>'DATA - MW = 15.95 (Sp Gr= 0.55)'!$A$8:$A$33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15.95 (Sp Gr= 0.55)'!$W$8:$W$33</c:f>
              <c:numCache>
                <c:formatCode>General</c:formatCode>
                <c:ptCount val="26"/>
                <c:pt idx="0">
                  <c:v>1</c:v>
                </c:pt>
                <c:pt idx="1">
                  <c:v>0.99160000000000004</c:v>
                </c:pt>
                <c:pt idx="2">
                  <c:v>0.98599999999999999</c:v>
                </c:pt>
                <c:pt idx="3">
                  <c:v>0.98080000000000001</c:v>
                </c:pt>
                <c:pt idx="4">
                  <c:v>0.97319999999999995</c:v>
                </c:pt>
                <c:pt idx="5">
                  <c:v>0.96399999999999997</c:v>
                </c:pt>
                <c:pt idx="6">
                  <c:v>0.95479999999999998</c:v>
                </c:pt>
                <c:pt idx="7">
                  <c:v>0.94839999999999991</c:v>
                </c:pt>
                <c:pt idx="8">
                  <c:v>0.94240000000000002</c:v>
                </c:pt>
                <c:pt idx="9">
                  <c:v>0.93500000000000005</c:v>
                </c:pt>
                <c:pt idx="10">
                  <c:v>0.92860000000000009</c:v>
                </c:pt>
                <c:pt idx="11">
                  <c:v>0.92080000000000006</c:v>
                </c:pt>
                <c:pt idx="12">
                  <c:v>0.91200000000000003</c:v>
                </c:pt>
                <c:pt idx="13">
                  <c:v>0.9032</c:v>
                </c:pt>
                <c:pt idx="14">
                  <c:v>0.89600000000000002</c:v>
                </c:pt>
                <c:pt idx="15">
                  <c:v>0.88880000000000003</c:v>
                </c:pt>
                <c:pt idx="16">
                  <c:v>0.88360000000000005</c:v>
                </c:pt>
                <c:pt idx="17">
                  <c:v>0.87780000000000002</c:v>
                </c:pt>
                <c:pt idx="18">
                  <c:v>0.87119999999999997</c:v>
                </c:pt>
                <c:pt idx="19">
                  <c:v>0.86280000000000001</c:v>
                </c:pt>
                <c:pt idx="20">
                  <c:v>0.85519999999999996</c:v>
                </c:pt>
                <c:pt idx="21">
                  <c:v>0.85319999999999996</c:v>
                </c:pt>
                <c:pt idx="22">
                  <c:v>0.84799999999999998</c:v>
                </c:pt>
                <c:pt idx="23">
                  <c:v>0.84179999999999999</c:v>
                </c:pt>
                <c:pt idx="24">
                  <c:v>0.83379999999999999</c:v>
                </c:pt>
                <c:pt idx="25">
                  <c:v>0.82579999999999998</c:v>
                </c:pt>
              </c:numCache>
            </c:numRef>
          </c:val>
        </c:ser>
        <c:ser>
          <c:idx val="17"/>
          <c:order val="17"/>
          <c:tx>
            <c:v>T = 40</c:v>
          </c:tx>
          <c:spPr>
            <a:ln w="12700">
              <a:solidFill>
                <a:srgbClr val="33CCCC"/>
              </a:solidFill>
              <a:prstDash val="solid"/>
            </a:ln>
          </c:spPr>
          <c:marker>
            <c:symbol val="dash"/>
            <c:size val="5"/>
            <c:spPr>
              <a:noFill/>
              <a:ln>
                <a:solidFill>
                  <a:srgbClr val="33CCCC"/>
                </a:solidFill>
                <a:prstDash val="solid"/>
              </a:ln>
            </c:spPr>
          </c:marker>
          <c:trendline>
            <c:spPr>
              <a:ln w="25400">
                <a:solidFill>
                  <a:srgbClr val="000000"/>
                </a:solidFill>
                <a:prstDash val="solid"/>
              </a:ln>
            </c:spPr>
            <c:trendlineType val="poly"/>
            <c:order val="3"/>
          </c:trendline>
          <c:cat>
            <c:numRef>
              <c:f>'DATA - MW = 15.95 (Sp Gr= 0.55)'!$A$8:$A$33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15.95 (Sp Gr= 0.55)'!$X$8:$X$33</c:f>
              <c:numCache>
                <c:formatCode>General</c:formatCode>
                <c:ptCount val="26"/>
                <c:pt idx="0">
                  <c:v>1</c:v>
                </c:pt>
                <c:pt idx="1">
                  <c:v>0.99119999999999997</c:v>
                </c:pt>
                <c:pt idx="2">
                  <c:v>0.98599999999999999</c:v>
                </c:pt>
                <c:pt idx="3">
                  <c:v>0.98060000000000003</c:v>
                </c:pt>
                <c:pt idx="4">
                  <c:v>0.97239999999999993</c:v>
                </c:pt>
                <c:pt idx="5">
                  <c:v>0.96299999999999997</c:v>
                </c:pt>
                <c:pt idx="6">
                  <c:v>0.9536</c:v>
                </c:pt>
                <c:pt idx="7">
                  <c:v>0.94679999999999997</c:v>
                </c:pt>
                <c:pt idx="8">
                  <c:v>0.94079999999999997</c:v>
                </c:pt>
                <c:pt idx="9">
                  <c:v>0.93300000000000005</c:v>
                </c:pt>
                <c:pt idx="10">
                  <c:v>0.92620000000000002</c:v>
                </c:pt>
                <c:pt idx="11">
                  <c:v>0.91760000000000008</c:v>
                </c:pt>
                <c:pt idx="12">
                  <c:v>0.90900000000000003</c:v>
                </c:pt>
                <c:pt idx="13">
                  <c:v>0.90039999999999998</c:v>
                </c:pt>
                <c:pt idx="14">
                  <c:v>0.89300000000000002</c:v>
                </c:pt>
                <c:pt idx="15">
                  <c:v>0.88560000000000005</c:v>
                </c:pt>
                <c:pt idx="16">
                  <c:v>0.88019999999999998</c:v>
                </c:pt>
                <c:pt idx="17">
                  <c:v>0.87360000000000004</c:v>
                </c:pt>
                <c:pt idx="18">
                  <c:v>0.86639999999999995</c:v>
                </c:pt>
                <c:pt idx="19">
                  <c:v>0.85760000000000003</c:v>
                </c:pt>
                <c:pt idx="20">
                  <c:v>0.85039999999999993</c:v>
                </c:pt>
                <c:pt idx="21">
                  <c:v>0.84739999999999993</c:v>
                </c:pt>
                <c:pt idx="22">
                  <c:v>0.84199999999999997</c:v>
                </c:pt>
                <c:pt idx="23">
                  <c:v>0.83560000000000001</c:v>
                </c:pt>
                <c:pt idx="24">
                  <c:v>0.8276</c:v>
                </c:pt>
                <c:pt idx="25">
                  <c:v>0.8196</c:v>
                </c:pt>
              </c:numCache>
            </c:numRef>
          </c:val>
        </c:ser>
        <c:ser>
          <c:idx val="18"/>
          <c:order val="18"/>
          <c:tx>
            <c:v>T = 35</c:v>
          </c:tx>
          <c:spPr>
            <a:ln w="12700">
              <a:solidFill>
                <a:srgbClr val="99CC00"/>
              </a:solidFill>
              <a:prstDash val="solid"/>
            </a:ln>
          </c:spPr>
          <c:marker>
            <c:symbol val="diamond"/>
            <c:size val="5"/>
            <c:spPr>
              <a:solidFill>
                <a:srgbClr val="99CC00"/>
              </a:solidFill>
              <a:ln>
                <a:solidFill>
                  <a:srgbClr val="99CC00"/>
                </a:solidFill>
                <a:prstDash val="solid"/>
              </a:ln>
            </c:spPr>
          </c:marker>
          <c:trendline>
            <c:spPr>
              <a:ln w="25400">
                <a:solidFill>
                  <a:srgbClr val="000000"/>
                </a:solidFill>
                <a:prstDash val="solid"/>
              </a:ln>
            </c:spPr>
            <c:trendlineType val="poly"/>
            <c:order val="3"/>
          </c:trendline>
          <c:cat>
            <c:numRef>
              <c:f>'DATA - MW = 15.95 (Sp Gr= 0.55)'!$A$8:$A$33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15.95 (Sp Gr= 0.55)'!$Y$8:$Y$33</c:f>
              <c:numCache>
                <c:formatCode>General</c:formatCode>
                <c:ptCount val="26"/>
                <c:pt idx="0">
                  <c:v>1</c:v>
                </c:pt>
                <c:pt idx="1">
                  <c:v>0.99080000000000001</c:v>
                </c:pt>
                <c:pt idx="2">
                  <c:v>0.98599999999999999</c:v>
                </c:pt>
                <c:pt idx="3">
                  <c:v>0.98039999999999994</c:v>
                </c:pt>
                <c:pt idx="4">
                  <c:v>0.97160000000000002</c:v>
                </c:pt>
                <c:pt idx="5">
                  <c:v>0.96199999999999997</c:v>
                </c:pt>
                <c:pt idx="6">
                  <c:v>0.95239999999999991</c:v>
                </c:pt>
                <c:pt idx="7">
                  <c:v>0.94519999999999993</c:v>
                </c:pt>
                <c:pt idx="8">
                  <c:v>0.93920000000000003</c:v>
                </c:pt>
                <c:pt idx="9">
                  <c:v>0.93100000000000005</c:v>
                </c:pt>
                <c:pt idx="10">
                  <c:v>0.92380000000000007</c:v>
                </c:pt>
                <c:pt idx="11">
                  <c:v>0.91439999999999999</c:v>
                </c:pt>
                <c:pt idx="12">
                  <c:v>0.90600000000000003</c:v>
                </c:pt>
                <c:pt idx="13">
                  <c:v>0.89760000000000006</c:v>
                </c:pt>
                <c:pt idx="14">
                  <c:v>0.89</c:v>
                </c:pt>
                <c:pt idx="15">
                  <c:v>0.88239999999999996</c:v>
                </c:pt>
                <c:pt idx="16">
                  <c:v>0.87680000000000002</c:v>
                </c:pt>
                <c:pt idx="17">
                  <c:v>0.86939999999999995</c:v>
                </c:pt>
                <c:pt idx="18">
                  <c:v>0.86160000000000003</c:v>
                </c:pt>
                <c:pt idx="19">
                  <c:v>0.85239999999999994</c:v>
                </c:pt>
                <c:pt idx="20">
                  <c:v>0.84560000000000002</c:v>
                </c:pt>
                <c:pt idx="21">
                  <c:v>0.84160000000000001</c:v>
                </c:pt>
                <c:pt idx="22">
                  <c:v>0.83599999999999997</c:v>
                </c:pt>
                <c:pt idx="23">
                  <c:v>0.82939999999999992</c:v>
                </c:pt>
                <c:pt idx="24">
                  <c:v>0.82140000000000002</c:v>
                </c:pt>
                <c:pt idx="25">
                  <c:v>0.81340000000000001</c:v>
                </c:pt>
              </c:numCache>
            </c:numRef>
          </c:val>
        </c:ser>
        <c:ser>
          <c:idx val="19"/>
          <c:order val="19"/>
          <c:tx>
            <c:v>T = 30</c:v>
          </c:tx>
          <c:spPr>
            <a:ln w="12700">
              <a:solidFill>
                <a:srgbClr val="FFCC00"/>
              </a:solidFill>
              <a:prstDash val="solid"/>
            </a:ln>
          </c:spPr>
          <c:marker>
            <c:symbol val="square"/>
            <c:size val="5"/>
            <c:spPr>
              <a:solidFill>
                <a:srgbClr val="FFCC00"/>
              </a:solidFill>
              <a:ln>
                <a:solidFill>
                  <a:srgbClr val="FFCC00"/>
                </a:solidFill>
                <a:prstDash val="solid"/>
              </a:ln>
            </c:spPr>
          </c:marker>
          <c:trendline>
            <c:spPr>
              <a:ln w="25400">
                <a:solidFill>
                  <a:srgbClr val="000000"/>
                </a:solidFill>
                <a:prstDash val="solid"/>
              </a:ln>
            </c:spPr>
            <c:trendlineType val="poly"/>
            <c:order val="3"/>
          </c:trendline>
          <c:cat>
            <c:numRef>
              <c:f>'DATA - MW = 15.95 (Sp Gr= 0.55)'!$A$8:$A$33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15.95 (Sp Gr= 0.55)'!$Z$8:$Z$33</c:f>
              <c:numCache>
                <c:formatCode>General</c:formatCode>
                <c:ptCount val="26"/>
                <c:pt idx="0">
                  <c:v>1</c:v>
                </c:pt>
                <c:pt idx="1">
                  <c:v>0.99039999999999995</c:v>
                </c:pt>
                <c:pt idx="2">
                  <c:v>0.98599999999999999</c:v>
                </c:pt>
                <c:pt idx="3">
                  <c:v>0.98019999999999996</c:v>
                </c:pt>
                <c:pt idx="4">
                  <c:v>0.9708</c:v>
                </c:pt>
                <c:pt idx="5">
                  <c:v>0.96099999999999997</c:v>
                </c:pt>
                <c:pt idx="6">
                  <c:v>0.95119999999999993</c:v>
                </c:pt>
                <c:pt idx="7">
                  <c:v>0.94359999999999999</c:v>
                </c:pt>
                <c:pt idx="8">
                  <c:v>0.93759999999999999</c:v>
                </c:pt>
                <c:pt idx="9">
                  <c:v>0.92900000000000005</c:v>
                </c:pt>
                <c:pt idx="10">
                  <c:v>0.9214</c:v>
                </c:pt>
                <c:pt idx="11">
                  <c:v>0.91120000000000001</c:v>
                </c:pt>
                <c:pt idx="12">
                  <c:v>0.90300000000000002</c:v>
                </c:pt>
                <c:pt idx="13">
                  <c:v>0.89480000000000004</c:v>
                </c:pt>
                <c:pt idx="14">
                  <c:v>0.88700000000000001</c:v>
                </c:pt>
                <c:pt idx="15">
                  <c:v>0.87919999999999998</c:v>
                </c:pt>
                <c:pt idx="16">
                  <c:v>0.87339999999999995</c:v>
                </c:pt>
                <c:pt idx="17">
                  <c:v>0.86519999999999997</c:v>
                </c:pt>
                <c:pt idx="18">
                  <c:v>0.85680000000000001</c:v>
                </c:pt>
                <c:pt idx="19">
                  <c:v>0.84719999999999995</c:v>
                </c:pt>
                <c:pt idx="20">
                  <c:v>0.84079999999999999</c:v>
                </c:pt>
                <c:pt idx="21">
                  <c:v>0.83579999999999999</c:v>
                </c:pt>
                <c:pt idx="22">
                  <c:v>0.83</c:v>
                </c:pt>
                <c:pt idx="23">
                  <c:v>0.82319999999999993</c:v>
                </c:pt>
                <c:pt idx="24">
                  <c:v>0.81520000000000004</c:v>
                </c:pt>
                <c:pt idx="25">
                  <c:v>0.80720000000000003</c:v>
                </c:pt>
              </c:numCache>
            </c:numRef>
          </c:val>
        </c:ser>
        <c:ser>
          <c:idx val="20"/>
          <c:order val="20"/>
          <c:tx>
            <c:v>T = 20</c:v>
          </c:tx>
          <c:spPr>
            <a:ln w="12700">
              <a:solidFill>
                <a:srgbClr val="FF9900"/>
              </a:solidFill>
              <a:prstDash val="solid"/>
            </a:ln>
          </c:spPr>
          <c:marker>
            <c:symbol val="triangle"/>
            <c:size val="5"/>
            <c:spPr>
              <a:solidFill>
                <a:srgbClr val="FF9900"/>
              </a:solidFill>
              <a:ln>
                <a:solidFill>
                  <a:srgbClr val="FF9900"/>
                </a:solidFill>
                <a:prstDash val="solid"/>
              </a:ln>
            </c:spPr>
          </c:marker>
          <c:trendline>
            <c:spPr>
              <a:ln w="25400">
                <a:solidFill>
                  <a:srgbClr val="000000"/>
                </a:solidFill>
                <a:prstDash val="solid"/>
              </a:ln>
            </c:spPr>
            <c:trendlineType val="poly"/>
            <c:order val="3"/>
          </c:trendline>
          <c:cat>
            <c:numRef>
              <c:f>'DATA - MW = 15.95 (Sp Gr= 0.55)'!$A$8:$A$33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15.95 (Sp Gr= 0.55)'!$AB$8:$AB$33</c:f>
              <c:numCache>
                <c:formatCode>General</c:formatCode>
                <c:ptCount val="26"/>
                <c:pt idx="0">
                  <c:v>1</c:v>
                </c:pt>
                <c:pt idx="1">
                  <c:v>0.99</c:v>
                </c:pt>
                <c:pt idx="2">
                  <c:v>0.98580000000000001</c:v>
                </c:pt>
                <c:pt idx="3">
                  <c:v>0.97860000000000003</c:v>
                </c:pt>
                <c:pt idx="4">
                  <c:v>0.96819999999999995</c:v>
                </c:pt>
                <c:pt idx="5">
                  <c:v>0.95799999999999996</c:v>
                </c:pt>
                <c:pt idx="6">
                  <c:v>0.94799999999999995</c:v>
                </c:pt>
                <c:pt idx="7">
                  <c:v>0.93959999999999999</c:v>
                </c:pt>
                <c:pt idx="8">
                  <c:v>0.93240000000000001</c:v>
                </c:pt>
                <c:pt idx="9">
                  <c:v>0.92260000000000009</c:v>
                </c:pt>
                <c:pt idx="10">
                  <c:v>0.91439999999999999</c:v>
                </c:pt>
                <c:pt idx="11">
                  <c:v>0.90400000000000003</c:v>
                </c:pt>
                <c:pt idx="12">
                  <c:v>0.89600000000000002</c:v>
                </c:pt>
                <c:pt idx="13">
                  <c:v>0.88700000000000001</c:v>
                </c:pt>
                <c:pt idx="14">
                  <c:v>0.87860000000000005</c:v>
                </c:pt>
                <c:pt idx="15">
                  <c:v>0.87039999999999995</c:v>
                </c:pt>
                <c:pt idx="16">
                  <c:v>0.86399999999999999</c:v>
                </c:pt>
                <c:pt idx="17">
                  <c:v>0.85499999999999998</c:v>
                </c:pt>
                <c:pt idx="18">
                  <c:v>0.84599999999999997</c:v>
                </c:pt>
                <c:pt idx="19">
                  <c:v>0.83560000000000001</c:v>
                </c:pt>
                <c:pt idx="20">
                  <c:v>0.82879999999999998</c:v>
                </c:pt>
                <c:pt idx="21">
                  <c:v>0.82279999999999998</c:v>
                </c:pt>
                <c:pt idx="22">
                  <c:v>0.81579999999999997</c:v>
                </c:pt>
                <c:pt idx="23">
                  <c:v>0.80840000000000001</c:v>
                </c:pt>
                <c:pt idx="24">
                  <c:v>0.8</c:v>
                </c:pt>
                <c:pt idx="25">
                  <c:v>0.79180000000000006</c:v>
                </c:pt>
              </c:numCache>
            </c:numRef>
          </c:val>
        </c:ser>
        <c:ser>
          <c:idx val="21"/>
          <c:order val="21"/>
          <c:tx>
            <c:v>T = 15</c:v>
          </c:tx>
          <c:spPr>
            <a:ln w="12700">
              <a:solidFill>
                <a:srgbClr val="FF6600"/>
              </a:solidFill>
              <a:prstDash val="solid"/>
            </a:ln>
          </c:spPr>
          <c:marker>
            <c:symbol val="x"/>
            <c:size val="5"/>
            <c:spPr>
              <a:noFill/>
              <a:ln>
                <a:solidFill>
                  <a:srgbClr val="FF6600"/>
                </a:solidFill>
                <a:prstDash val="solid"/>
              </a:ln>
            </c:spPr>
          </c:marker>
          <c:trendline>
            <c:spPr>
              <a:ln w="25400">
                <a:solidFill>
                  <a:srgbClr val="000000"/>
                </a:solidFill>
                <a:prstDash val="solid"/>
              </a:ln>
            </c:spPr>
            <c:trendlineType val="poly"/>
            <c:order val="3"/>
          </c:trendline>
          <c:cat>
            <c:numRef>
              <c:f>'DATA - MW = 15.95 (Sp Gr= 0.55)'!$A$8:$A$33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15.95 (Sp Gr= 0.55)'!$AC$8:$AC$33</c:f>
              <c:numCache>
                <c:formatCode>General</c:formatCode>
                <c:ptCount val="26"/>
                <c:pt idx="0">
                  <c:v>1</c:v>
                </c:pt>
                <c:pt idx="1">
                  <c:v>0.99</c:v>
                </c:pt>
                <c:pt idx="2">
                  <c:v>0.98560000000000003</c:v>
                </c:pt>
                <c:pt idx="3">
                  <c:v>0.97719999999999996</c:v>
                </c:pt>
                <c:pt idx="4">
                  <c:v>0.96639999999999993</c:v>
                </c:pt>
                <c:pt idx="5">
                  <c:v>0.95599999999999996</c:v>
                </c:pt>
                <c:pt idx="6">
                  <c:v>0.94599999999999995</c:v>
                </c:pt>
                <c:pt idx="7">
                  <c:v>0.93720000000000003</c:v>
                </c:pt>
                <c:pt idx="8">
                  <c:v>0.92880000000000007</c:v>
                </c:pt>
                <c:pt idx="9">
                  <c:v>0.91820000000000002</c:v>
                </c:pt>
                <c:pt idx="10">
                  <c:v>0.90980000000000005</c:v>
                </c:pt>
                <c:pt idx="11">
                  <c:v>0.9</c:v>
                </c:pt>
                <c:pt idx="12">
                  <c:v>0.89200000000000002</c:v>
                </c:pt>
                <c:pt idx="13">
                  <c:v>0.88200000000000001</c:v>
                </c:pt>
                <c:pt idx="14">
                  <c:v>0.87319999999999998</c:v>
                </c:pt>
                <c:pt idx="15">
                  <c:v>0.86480000000000001</c:v>
                </c:pt>
                <c:pt idx="16">
                  <c:v>0.85799999999999998</c:v>
                </c:pt>
                <c:pt idx="17">
                  <c:v>0.84899999999999998</c:v>
                </c:pt>
                <c:pt idx="18">
                  <c:v>0.84</c:v>
                </c:pt>
                <c:pt idx="19">
                  <c:v>0.82920000000000005</c:v>
                </c:pt>
                <c:pt idx="20">
                  <c:v>0.8216</c:v>
                </c:pt>
                <c:pt idx="21">
                  <c:v>0.81559999999999999</c:v>
                </c:pt>
                <c:pt idx="22">
                  <c:v>0.80759999999999998</c:v>
                </c:pt>
                <c:pt idx="23">
                  <c:v>0.79979999999999996</c:v>
                </c:pt>
                <c:pt idx="24">
                  <c:v>0.79100000000000004</c:v>
                </c:pt>
                <c:pt idx="25">
                  <c:v>0.78260000000000007</c:v>
                </c:pt>
              </c:numCache>
            </c:numRef>
          </c:val>
        </c:ser>
        <c:ser>
          <c:idx val="22"/>
          <c:order val="22"/>
          <c:tx>
            <c:v>T = 10</c:v>
          </c:tx>
          <c:spPr>
            <a:ln w="12700">
              <a:solidFill>
                <a:srgbClr val="666699"/>
              </a:solidFill>
              <a:prstDash val="solid"/>
            </a:ln>
          </c:spPr>
          <c:marker>
            <c:symbol val="star"/>
            <c:size val="5"/>
            <c:spPr>
              <a:noFill/>
              <a:ln>
                <a:solidFill>
                  <a:srgbClr val="666699"/>
                </a:solidFill>
                <a:prstDash val="solid"/>
              </a:ln>
            </c:spPr>
          </c:marker>
          <c:trendline>
            <c:spPr>
              <a:ln w="25400">
                <a:solidFill>
                  <a:srgbClr val="000000"/>
                </a:solidFill>
                <a:prstDash val="solid"/>
              </a:ln>
            </c:spPr>
            <c:trendlineType val="poly"/>
            <c:order val="3"/>
          </c:trendline>
          <c:cat>
            <c:numRef>
              <c:f>'DATA - MW = 15.95 (Sp Gr= 0.55)'!$A$8:$A$33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15.95 (Sp Gr= 0.55)'!$AD$8:$AD$33</c:f>
              <c:numCache>
                <c:formatCode>General</c:formatCode>
                <c:ptCount val="26"/>
                <c:pt idx="0">
                  <c:v>1</c:v>
                </c:pt>
                <c:pt idx="1">
                  <c:v>0.99</c:v>
                </c:pt>
                <c:pt idx="2">
                  <c:v>0.98539999999999994</c:v>
                </c:pt>
                <c:pt idx="3">
                  <c:v>0.9758</c:v>
                </c:pt>
                <c:pt idx="4">
                  <c:v>0.96460000000000001</c:v>
                </c:pt>
                <c:pt idx="5">
                  <c:v>0.95399999999999996</c:v>
                </c:pt>
                <c:pt idx="6">
                  <c:v>0.94399999999999995</c:v>
                </c:pt>
                <c:pt idx="7">
                  <c:v>0.93479999999999996</c:v>
                </c:pt>
                <c:pt idx="8">
                  <c:v>0.92520000000000002</c:v>
                </c:pt>
                <c:pt idx="9">
                  <c:v>0.91380000000000006</c:v>
                </c:pt>
                <c:pt idx="10">
                  <c:v>0.9052</c:v>
                </c:pt>
                <c:pt idx="11">
                  <c:v>0.89600000000000002</c:v>
                </c:pt>
                <c:pt idx="12">
                  <c:v>0.88800000000000001</c:v>
                </c:pt>
                <c:pt idx="13">
                  <c:v>0.877</c:v>
                </c:pt>
                <c:pt idx="14">
                  <c:v>0.86780000000000002</c:v>
                </c:pt>
                <c:pt idx="15">
                  <c:v>0.85919999999999996</c:v>
                </c:pt>
                <c:pt idx="16">
                  <c:v>0.85199999999999998</c:v>
                </c:pt>
                <c:pt idx="17">
                  <c:v>0.84299999999999997</c:v>
                </c:pt>
                <c:pt idx="18">
                  <c:v>0.83399999999999996</c:v>
                </c:pt>
                <c:pt idx="19">
                  <c:v>0.82279999999999998</c:v>
                </c:pt>
                <c:pt idx="20">
                  <c:v>0.81440000000000001</c:v>
                </c:pt>
                <c:pt idx="21">
                  <c:v>0.80840000000000001</c:v>
                </c:pt>
                <c:pt idx="22">
                  <c:v>0.7994</c:v>
                </c:pt>
                <c:pt idx="23">
                  <c:v>0.79120000000000001</c:v>
                </c:pt>
                <c:pt idx="24">
                  <c:v>0.78200000000000003</c:v>
                </c:pt>
                <c:pt idx="25">
                  <c:v>0.77339999999999998</c:v>
                </c:pt>
              </c:numCache>
            </c:numRef>
          </c:val>
        </c:ser>
        <c:ser>
          <c:idx val="23"/>
          <c:order val="23"/>
          <c:tx>
            <c:v>T = 5</c:v>
          </c:tx>
          <c:spPr>
            <a:ln w="12700">
              <a:solidFill>
                <a:srgbClr val="969696"/>
              </a:solidFill>
              <a:prstDash val="solid"/>
            </a:ln>
          </c:spPr>
          <c:marker>
            <c:symbol val="circle"/>
            <c:size val="5"/>
            <c:spPr>
              <a:solidFill>
                <a:srgbClr val="969696"/>
              </a:solidFill>
              <a:ln>
                <a:solidFill>
                  <a:srgbClr val="969696"/>
                </a:solidFill>
                <a:prstDash val="solid"/>
              </a:ln>
            </c:spPr>
          </c:marker>
          <c:trendline>
            <c:spPr>
              <a:ln w="25400">
                <a:solidFill>
                  <a:srgbClr val="000000"/>
                </a:solidFill>
                <a:prstDash val="solid"/>
              </a:ln>
            </c:spPr>
            <c:trendlineType val="poly"/>
            <c:order val="3"/>
          </c:trendline>
          <c:cat>
            <c:numRef>
              <c:f>'DATA - MW = 15.95 (Sp Gr= 0.55)'!$A$8:$A$33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15.95 (Sp Gr= 0.55)'!$AE$8:$AE$33</c:f>
              <c:numCache>
                <c:formatCode>General</c:formatCode>
                <c:ptCount val="26"/>
                <c:pt idx="0">
                  <c:v>1</c:v>
                </c:pt>
                <c:pt idx="1">
                  <c:v>0.99</c:v>
                </c:pt>
                <c:pt idx="2">
                  <c:v>0.98519999999999996</c:v>
                </c:pt>
                <c:pt idx="3">
                  <c:v>0.97439999999999993</c:v>
                </c:pt>
                <c:pt idx="4">
                  <c:v>0.96279999999999999</c:v>
                </c:pt>
                <c:pt idx="5">
                  <c:v>0.95199999999999996</c:v>
                </c:pt>
                <c:pt idx="6">
                  <c:v>0.94199999999999995</c:v>
                </c:pt>
                <c:pt idx="7">
                  <c:v>0.93240000000000001</c:v>
                </c:pt>
                <c:pt idx="8">
                  <c:v>0.92160000000000009</c:v>
                </c:pt>
                <c:pt idx="9">
                  <c:v>0.90939999999999999</c:v>
                </c:pt>
                <c:pt idx="10">
                  <c:v>0.90060000000000007</c:v>
                </c:pt>
                <c:pt idx="11">
                  <c:v>0.89200000000000002</c:v>
                </c:pt>
                <c:pt idx="12">
                  <c:v>0.88400000000000001</c:v>
                </c:pt>
                <c:pt idx="13">
                  <c:v>0.872</c:v>
                </c:pt>
                <c:pt idx="14">
                  <c:v>0.86239999999999994</c:v>
                </c:pt>
                <c:pt idx="15">
                  <c:v>0.85360000000000003</c:v>
                </c:pt>
                <c:pt idx="16">
                  <c:v>0.84599999999999997</c:v>
                </c:pt>
                <c:pt idx="17">
                  <c:v>0.83699999999999997</c:v>
                </c:pt>
                <c:pt idx="18">
                  <c:v>0.82799999999999996</c:v>
                </c:pt>
                <c:pt idx="19">
                  <c:v>0.81640000000000001</c:v>
                </c:pt>
                <c:pt idx="20">
                  <c:v>0.80720000000000003</c:v>
                </c:pt>
                <c:pt idx="21">
                  <c:v>0.80120000000000002</c:v>
                </c:pt>
                <c:pt idx="22">
                  <c:v>0.79120000000000001</c:v>
                </c:pt>
                <c:pt idx="23">
                  <c:v>0.78259999999999996</c:v>
                </c:pt>
                <c:pt idx="24">
                  <c:v>0.77300000000000002</c:v>
                </c:pt>
                <c:pt idx="25">
                  <c:v>0.76419999999999999</c:v>
                </c:pt>
              </c:numCache>
            </c:numRef>
          </c:val>
        </c:ser>
        <c:marker val="1"/>
        <c:axId val="143189504"/>
        <c:axId val="143191424"/>
      </c:lineChart>
      <c:catAx>
        <c:axId val="143189504"/>
        <c:scaling>
          <c:orientation val="minMax"/>
        </c:scaling>
        <c:axPos val="b"/>
        <c:title>
          <c:tx>
            <c:rich>
              <a:bodyPr/>
              <a:lstStyle/>
              <a:p>
                <a:pPr>
                  <a:defRPr sz="1000" b="1" i="0" u="none" strike="noStrike" baseline="0">
                    <a:solidFill>
                      <a:srgbClr val="000000"/>
                    </a:solidFill>
                    <a:latin typeface="Arial"/>
                    <a:ea typeface="Arial"/>
                    <a:cs typeface="Arial"/>
                  </a:defRPr>
                </a:pPr>
                <a:r>
                  <a:rPr lang="en-US"/>
                  <a:t>Pressure</a:t>
                </a:r>
              </a:p>
            </c:rich>
          </c:tx>
          <c:layout>
            <c:manualLayout>
              <c:xMode val="edge"/>
              <c:yMode val="edge"/>
              <c:x val="0.42841287458379712"/>
              <c:y val="0.94616639477977149"/>
            </c:manualLayout>
          </c:layout>
          <c:spPr>
            <a:noFill/>
            <a:ln w="25400">
              <a:noFill/>
            </a:ln>
          </c:spPr>
        </c:title>
        <c:numFmt formatCode="General" sourceLinked="1"/>
        <c:min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3191424"/>
        <c:crosses val="autoZero"/>
        <c:auto val="1"/>
        <c:lblAlgn val="ctr"/>
        <c:lblOffset val="100"/>
        <c:tickLblSkip val="4"/>
        <c:tickMarkSkip val="1"/>
      </c:catAx>
      <c:valAx>
        <c:axId val="143191424"/>
        <c:scaling>
          <c:orientation val="minMax"/>
          <c:min val="0.70000000000000062"/>
        </c:scaling>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Z</a:t>
                </a:r>
              </a:p>
            </c:rich>
          </c:tx>
          <c:layout>
            <c:manualLayout>
              <c:xMode val="edge"/>
              <c:yMode val="edge"/>
              <c:x val="1.1098779134295227E-2"/>
              <c:y val="0.5008156606851549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3189504"/>
        <c:crosses val="autoZero"/>
        <c:crossBetween val="between"/>
      </c:valAx>
      <c:spPr>
        <a:solidFill>
          <a:srgbClr val="FFFFFF"/>
        </a:solidFill>
        <a:ln w="12700">
          <a:solidFill>
            <a:srgbClr val="808080"/>
          </a:solidFill>
          <a:prstDash val="solid"/>
        </a:ln>
      </c:spPr>
    </c:plotArea>
    <c:legend>
      <c:legendPos val="r"/>
      <c:layout>
        <c:manualLayout>
          <c:xMode val="edge"/>
          <c:yMode val="edge"/>
          <c:x val="0.85571587125416504"/>
          <c:y val="8.1566068515498535E-3"/>
          <c:w val="0.138734739178691"/>
          <c:h val="0.9918433931484506"/>
        </c:manualLayout>
      </c:layout>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lang val="en-US"/>
  <c:protection/>
  <c:chart>
    <c:title>
      <c:tx>
        <c:rich>
          <a:bodyPr/>
          <a:lstStyle/>
          <a:p>
            <a:pPr>
              <a:defRPr sz="1200" b="1" i="0" u="none" strike="noStrike" baseline="0">
                <a:solidFill>
                  <a:srgbClr val="000000"/>
                </a:solidFill>
                <a:latin typeface="Arial"/>
                <a:ea typeface="Arial"/>
                <a:cs typeface="Arial"/>
              </a:defRPr>
            </a:pPr>
            <a:r>
              <a:rPr lang="en-US"/>
              <a:t>Compressibility (Sp Gr = 0.6, MW = 17.4)</a:t>
            </a:r>
          </a:p>
        </c:rich>
      </c:tx>
      <c:layout>
        <c:manualLayout>
          <c:xMode val="edge"/>
          <c:yMode val="edge"/>
          <c:x val="0.33074361820199777"/>
          <c:y val="1.9575856443719494E-2"/>
        </c:manualLayout>
      </c:layout>
      <c:spPr>
        <a:noFill/>
        <a:ln w="25400">
          <a:noFill/>
        </a:ln>
      </c:spPr>
    </c:title>
    <c:plotArea>
      <c:layout>
        <c:manualLayout>
          <c:layoutTarget val="inner"/>
          <c:xMode val="edge"/>
          <c:yMode val="edge"/>
          <c:x val="7.8801331853496567E-2"/>
          <c:y val="0.12234910277324652"/>
          <c:w val="0.75249722530521668"/>
          <c:h val="0.77161500815660922"/>
        </c:manualLayout>
      </c:layout>
      <c:lineChart>
        <c:grouping val="standard"/>
        <c:ser>
          <c:idx val="0"/>
          <c:order val="0"/>
          <c:tx>
            <c:v>T = 150 F</c:v>
          </c:tx>
          <c:spPr>
            <a:ln w="12700">
              <a:solidFill>
                <a:srgbClr val="000080"/>
              </a:solidFill>
              <a:prstDash val="solid"/>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poly"/>
            <c:order val="2"/>
          </c:trendline>
          <c:trendline>
            <c:spPr>
              <a:ln w="25400">
                <a:solidFill>
                  <a:srgbClr val="000000"/>
                </a:solidFill>
                <a:prstDash val="solid"/>
              </a:ln>
            </c:spPr>
            <c:trendlineType val="poly"/>
            <c:order val="3"/>
          </c:trendline>
          <c:cat>
            <c:numRef>
              <c:f>'DATA - MW = 17.40 (Sp Gr= 0.6)'!$A$8:$A$33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17.40 (Sp Gr= 0.6)'!$B$8:$B$33</c:f>
              <c:numCache>
                <c:formatCode>General</c:formatCode>
                <c:ptCount val="26"/>
                <c:pt idx="0">
                  <c:v>1</c:v>
                </c:pt>
                <c:pt idx="1">
                  <c:v>0.995</c:v>
                </c:pt>
                <c:pt idx="2">
                  <c:v>0.99099999999999999</c:v>
                </c:pt>
                <c:pt idx="3">
                  <c:v>0.98499999999999999</c:v>
                </c:pt>
                <c:pt idx="4">
                  <c:v>0.98</c:v>
                </c:pt>
                <c:pt idx="5">
                  <c:v>0.97399999999999998</c:v>
                </c:pt>
                <c:pt idx="6">
                  <c:v>0.97</c:v>
                </c:pt>
                <c:pt idx="7">
                  <c:v>0.96399999999999997</c:v>
                </c:pt>
                <c:pt idx="8">
                  <c:v>0.96099999999999997</c:v>
                </c:pt>
                <c:pt idx="9">
                  <c:v>0.95599999999999996</c:v>
                </c:pt>
                <c:pt idx="10">
                  <c:v>0.95099999999999996</c:v>
                </c:pt>
                <c:pt idx="11">
                  <c:v>0.94899999999999995</c:v>
                </c:pt>
                <c:pt idx="12">
                  <c:v>0.94499999999999995</c:v>
                </c:pt>
                <c:pt idx="13">
                  <c:v>0.94099999999999995</c:v>
                </c:pt>
                <c:pt idx="14">
                  <c:v>0.93700000000000006</c:v>
                </c:pt>
                <c:pt idx="15">
                  <c:v>0.93200000000000005</c:v>
                </c:pt>
                <c:pt idx="16">
                  <c:v>0.92900000000000005</c:v>
                </c:pt>
                <c:pt idx="17">
                  <c:v>0.92500000000000004</c:v>
                </c:pt>
                <c:pt idx="18">
                  <c:v>0.92100000000000004</c:v>
                </c:pt>
                <c:pt idx="19">
                  <c:v>0.91800000000000004</c:v>
                </c:pt>
                <c:pt idx="20">
                  <c:v>0.91300000000000003</c:v>
                </c:pt>
                <c:pt idx="21">
                  <c:v>0.90900000000000003</c:v>
                </c:pt>
                <c:pt idx="22">
                  <c:v>0.90400000000000003</c:v>
                </c:pt>
                <c:pt idx="23">
                  <c:v>0.9</c:v>
                </c:pt>
                <c:pt idx="24">
                  <c:v>0.89500000000000002</c:v>
                </c:pt>
                <c:pt idx="25">
                  <c:v>0.89</c:v>
                </c:pt>
              </c:numCache>
            </c:numRef>
          </c:val>
        </c:ser>
        <c:ser>
          <c:idx val="1"/>
          <c:order val="1"/>
          <c:tx>
            <c:v>T = 100 F</c:v>
          </c:tx>
          <c:spPr>
            <a:ln w="12700">
              <a:solidFill>
                <a:srgbClr val="FF00FF"/>
              </a:solidFill>
              <a:prstDash val="solid"/>
            </a:ln>
          </c:spPr>
          <c:marker>
            <c:symbol val="square"/>
            <c:size val="5"/>
            <c:spPr>
              <a:solidFill>
                <a:srgbClr val="FF00FF"/>
              </a:solidFill>
              <a:ln>
                <a:solidFill>
                  <a:srgbClr val="FF00FF"/>
                </a:solidFill>
                <a:prstDash val="solid"/>
              </a:ln>
            </c:spPr>
          </c:marker>
          <c:trendline>
            <c:spPr>
              <a:ln w="25400">
                <a:solidFill>
                  <a:srgbClr val="000000"/>
                </a:solidFill>
                <a:prstDash val="solid"/>
              </a:ln>
            </c:spPr>
            <c:trendlineType val="poly"/>
            <c:order val="3"/>
          </c:trendline>
          <c:val>
            <c:numRef>
              <c:f>'DATA - MW = 17.40 (Sp Gr= 0.6)'!$L$8:$L$33</c:f>
              <c:numCache>
                <c:formatCode>General</c:formatCode>
                <c:ptCount val="26"/>
                <c:pt idx="0">
                  <c:v>1</c:v>
                </c:pt>
                <c:pt idx="1">
                  <c:v>0.99199999999999999</c:v>
                </c:pt>
                <c:pt idx="2">
                  <c:v>0.98499999999999999</c:v>
                </c:pt>
                <c:pt idx="3">
                  <c:v>0.97899999999999998</c:v>
                </c:pt>
                <c:pt idx="4">
                  <c:v>0.97099999999999997</c:v>
                </c:pt>
                <c:pt idx="5">
                  <c:v>0.96299999999999997</c:v>
                </c:pt>
                <c:pt idx="6">
                  <c:v>0.95699999999999996</c:v>
                </c:pt>
                <c:pt idx="7">
                  <c:v>0.95199999999999996</c:v>
                </c:pt>
                <c:pt idx="8">
                  <c:v>0.94799999999999995</c:v>
                </c:pt>
                <c:pt idx="9">
                  <c:v>0.94299999999999995</c:v>
                </c:pt>
                <c:pt idx="10">
                  <c:v>0.93500000000000005</c:v>
                </c:pt>
                <c:pt idx="11">
                  <c:v>0.93</c:v>
                </c:pt>
                <c:pt idx="12">
                  <c:v>0.92400000000000004</c:v>
                </c:pt>
                <c:pt idx="13">
                  <c:v>0.91900000000000004</c:v>
                </c:pt>
                <c:pt idx="14">
                  <c:v>0.91400000000000003</c:v>
                </c:pt>
                <c:pt idx="15">
                  <c:v>0.90600000000000003</c:v>
                </c:pt>
                <c:pt idx="16">
                  <c:v>0.9</c:v>
                </c:pt>
                <c:pt idx="17">
                  <c:v>0.89200000000000002</c:v>
                </c:pt>
                <c:pt idx="18">
                  <c:v>0.88600000000000001</c:v>
                </c:pt>
                <c:pt idx="19">
                  <c:v>0.88</c:v>
                </c:pt>
                <c:pt idx="20">
                  <c:v>0.871</c:v>
                </c:pt>
                <c:pt idx="21">
                  <c:v>0.86499999999999999</c:v>
                </c:pt>
                <c:pt idx="22">
                  <c:v>0.86</c:v>
                </c:pt>
                <c:pt idx="23">
                  <c:v>0.85499999999999998</c:v>
                </c:pt>
                <c:pt idx="24">
                  <c:v>0.85</c:v>
                </c:pt>
                <c:pt idx="25">
                  <c:v>0.84499999999999997</c:v>
                </c:pt>
              </c:numCache>
            </c:numRef>
          </c:val>
        </c:ser>
        <c:ser>
          <c:idx val="2"/>
          <c:order val="2"/>
          <c:tx>
            <c:v>T = 75 F</c:v>
          </c:tx>
          <c:spPr>
            <a:ln w="12700">
              <a:solidFill>
                <a:srgbClr val="FFFF00"/>
              </a:solidFill>
              <a:prstDash val="solid"/>
            </a:ln>
          </c:spPr>
          <c:marker>
            <c:symbol val="triangle"/>
            <c:size val="5"/>
            <c:spPr>
              <a:solidFill>
                <a:srgbClr val="FFFF00"/>
              </a:solidFill>
              <a:ln>
                <a:solidFill>
                  <a:srgbClr val="FFFF00"/>
                </a:solidFill>
                <a:prstDash val="solid"/>
              </a:ln>
            </c:spPr>
          </c:marker>
          <c:trendline>
            <c:spPr>
              <a:ln w="25400">
                <a:solidFill>
                  <a:srgbClr val="000000"/>
                </a:solidFill>
                <a:prstDash val="solid"/>
              </a:ln>
            </c:spPr>
            <c:trendlineType val="poly"/>
            <c:order val="3"/>
          </c:trendline>
          <c:val>
            <c:numRef>
              <c:f>'DATA - MW = 17.40 (Sp Gr= 0.6)'!$Q$8:$Q$33</c:f>
              <c:numCache>
                <c:formatCode>General</c:formatCode>
                <c:ptCount val="26"/>
                <c:pt idx="0">
                  <c:v>1</c:v>
                </c:pt>
                <c:pt idx="1">
                  <c:v>0.99</c:v>
                </c:pt>
                <c:pt idx="2">
                  <c:v>0.98199999999999998</c:v>
                </c:pt>
                <c:pt idx="3">
                  <c:v>0.97399999999999998</c:v>
                </c:pt>
                <c:pt idx="4">
                  <c:v>0.96699999999999997</c:v>
                </c:pt>
                <c:pt idx="5">
                  <c:v>0.96</c:v>
                </c:pt>
                <c:pt idx="6">
                  <c:v>0.95299999999999996</c:v>
                </c:pt>
                <c:pt idx="7">
                  <c:v>0.94699999999999995</c:v>
                </c:pt>
                <c:pt idx="8">
                  <c:v>0.94</c:v>
                </c:pt>
                <c:pt idx="9">
                  <c:v>0.93200000000000005</c:v>
                </c:pt>
                <c:pt idx="10">
                  <c:v>0.92500000000000004</c:v>
                </c:pt>
                <c:pt idx="11">
                  <c:v>0.92</c:v>
                </c:pt>
                <c:pt idx="12">
                  <c:v>0.91100000000000003</c:v>
                </c:pt>
                <c:pt idx="13">
                  <c:v>0.90100000000000002</c:v>
                </c:pt>
                <c:pt idx="14">
                  <c:v>0.89500000000000002</c:v>
                </c:pt>
                <c:pt idx="15">
                  <c:v>0.88700000000000001</c:v>
                </c:pt>
                <c:pt idx="16">
                  <c:v>0.88</c:v>
                </c:pt>
                <c:pt idx="17">
                  <c:v>0.872</c:v>
                </c:pt>
                <c:pt idx="18">
                  <c:v>0.86499999999999999</c:v>
                </c:pt>
                <c:pt idx="19">
                  <c:v>0.85899999999999999</c:v>
                </c:pt>
                <c:pt idx="20">
                  <c:v>0.85099999999999998</c:v>
                </c:pt>
                <c:pt idx="21">
                  <c:v>0.84</c:v>
                </c:pt>
                <c:pt idx="22">
                  <c:v>0.83399999999999996</c:v>
                </c:pt>
                <c:pt idx="23">
                  <c:v>0.82899999999999996</c:v>
                </c:pt>
                <c:pt idx="24">
                  <c:v>0.82299999999999995</c:v>
                </c:pt>
                <c:pt idx="25">
                  <c:v>0.81899999999999995</c:v>
                </c:pt>
              </c:numCache>
            </c:numRef>
          </c:val>
        </c:ser>
        <c:ser>
          <c:idx val="3"/>
          <c:order val="3"/>
          <c:tx>
            <c:v>T = 50 F</c:v>
          </c:tx>
          <c:spPr>
            <a:ln w="12700">
              <a:solidFill>
                <a:srgbClr val="00FFFF"/>
              </a:solidFill>
              <a:prstDash val="solid"/>
            </a:ln>
          </c:spPr>
          <c:marker>
            <c:symbol val="x"/>
            <c:size val="5"/>
            <c:spPr>
              <a:noFill/>
              <a:ln>
                <a:solidFill>
                  <a:srgbClr val="00FFFF"/>
                </a:solidFill>
                <a:prstDash val="solid"/>
              </a:ln>
            </c:spPr>
          </c:marker>
          <c:trendline>
            <c:spPr>
              <a:ln w="25400">
                <a:solidFill>
                  <a:srgbClr val="000000"/>
                </a:solidFill>
                <a:prstDash val="solid"/>
              </a:ln>
            </c:spPr>
            <c:trendlineType val="poly"/>
            <c:order val="3"/>
          </c:trendline>
          <c:val>
            <c:numRef>
              <c:f>'DATA - MW = 17.40 (Sp Gr= 0.6)'!$V$8:$V$33</c:f>
              <c:numCache>
                <c:formatCode>General</c:formatCode>
                <c:ptCount val="26"/>
                <c:pt idx="0">
                  <c:v>1</c:v>
                </c:pt>
                <c:pt idx="1">
                  <c:v>0.98499999999999999</c:v>
                </c:pt>
                <c:pt idx="2">
                  <c:v>0.97499999999999998</c:v>
                </c:pt>
                <c:pt idx="3">
                  <c:v>0.96699999999999997</c:v>
                </c:pt>
                <c:pt idx="4">
                  <c:v>0.96</c:v>
                </c:pt>
                <c:pt idx="5">
                  <c:v>0.95</c:v>
                </c:pt>
                <c:pt idx="6">
                  <c:v>0.94199999999999995</c:v>
                </c:pt>
                <c:pt idx="7">
                  <c:v>0.93500000000000005</c:v>
                </c:pt>
                <c:pt idx="8">
                  <c:v>0.92800000000000005</c:v>
                </c:pt>
                <c:pt idx="9">
                  <c:v>0.91900000000000004</c:v>
                </c:pt>
                <c:pt idx="10">
                  <c:v>0.91</c:v>
                </c:pt>
                <c:pt idx="11">
                  <c:v>0.9</c:v>
                </c:pt>
                <c:pt idx="12">
                  <c:v>0.89</c:v>
                </c:pt>
                <c:pt idx="13">
                  <c:v>0.88</c:v>
                </c:pt>
                <c:pt idx="14">
                  <c:v>0.872</c:v>
                </c:pt>
                <c:pt idx="15">
                  <c:v>0.86399999999999999</c:v>
                </c:pt>
                <c:pt idx="16">
                  <c:v>0.85499999999999998</c:v>
                </c:pt>
                <c:pt idx="17">
                  <c:v>0.84499999999999997</c:v>
                </c:pt>
                <c:pt idx="18">
                  <c:v>0.83599999999999997</c:v>
                </c:pt>
                <c:pt idx="19">
                  <c:v>0.82799999999999996</c:v>
                </c:pt>
                <c:pt idx="20">
                  <c:v>0.81899999999999995</c:v>
                </c:pt>
                <c:pt idx="21">
                  <c:v>0.81</c:v>
                </c:pt>
                <c:pt idx="22">
                  <c:v>0.80100000000000005</c:v>
                </c:pt>
                <c:pt idx="23">
                  <c:v>0.79200000000000004</c:v>
                </c:pt>
                <c:pt idx="24">
                  <c:v>0.78600000000000003</c:v>
                </c:pt>
                <c:pt idx="25">
                  <c:v>0.78</c:v>
                </c:pt>
              </c:numCache>
            </c:numRef>
          </c:val>
        </c:ser>
        <c:ser>
          <c:idx val="4"/>
          <c:order val="4"/>
          <c:tx>
            <c:v>T = 25 F</c:v>
          </c:tx>
          <c:spPr>
            <a:ln w="12700">
              <a:solidFill>
                <a:srgbClr val="800080"/>
              </a:solidFill>
              <a:prstDash val="solid"/>
            </a:ln>
          </c:spPr>
          <c:marker>
            <c:symbol val="star"/>
            <c:size val="5"/>
            <c:spPr>
              <a:noFill/>
              <a:ln>
                <a:solidFill>
                  <a:srgbClr val="800080"/>
                </a:solidFill>
                <a:prstDash val="solid"/>
              </a:ln>
            </c:spPr>
          </c:marker>
          <c:trendline>
            <c:spPr>
              <a:ln w="25400">
                <a:solidFill>
                  <a:srgbClr val="000000"/>
                </a:solidFill>
                <a:prstDash val="solid"/>
              </a:ln>
            </c:spPr>
            <c:trendlineType val="poly"/>
            <c:order val="3"/>
          </c:trendline>
          <c:val>
            <c:numRef>
              <c:f>'DATA - MW = 17.40 (Sp Gr= 0.6)'!$AA$8:$AA$33</c:f>
              <c:numCache>
                <c:formatCode>General</c:formatCode>
                <c:ptCount val="26"/>
                <c:pt idx="0">
                  <c:v>1</c:v>
                </c:pt>
                <c:pt idx="1">
                  <c:v>0.98199999999999998</c:v>
                </c:pt>
                <c:pt idx="2">
                  <c:v>0.97199999999999998</c:v>
                </c:pt>
                <c:pt idx="3">
                  <c:v>0.96499999999999997</c:v>
                </c:pt>
                <c:pt idx="4">
                  <c:v>0.95599999999999996</c:v>
                </c:pt>
                <c:pt idx="5">
                  <c:v>0.94599999999999995</c:v>
                </c:pt>
                <c:pt idx="6">
                  <c:v>0.93600000000000005</c:v>
                </c:pt>
                <c:pt idx="7">
                  <c:v>0.92700000000000005</c:v>
                </c:pt>
                <c:pt idx="8">
                  <c:v>0.91600000000000004</c:v>
                </c:pt>
                <c:pt idx="9">
                  <c:v>0.90400000000000003</c:v>
                </c:pt>
                <c:pt idx="10">
                  <c:v>0.89300000000000002</c:v>
                </c:pt>
                <c:pt idx="11">
                  <c:v>0.88200000000000001</c:v>
                </c:pt>
                <c:pt idx="12">
                  <c:v>0.872</c:v>
                </c:pt>
                <c:pt idx="13">
                  <c:v>0.86099999999999999</c:v>
                </c:pt>
                <c:pt idx="14">
                  <c:v>0.85</c:v>
                </c:pt>
                <c:pt idx="15">
                  <c:v>0.83899999999999997</c:v>
                </c:pt>
                <c:pt idx="16">
                  <c:v>0.83</c:v>
                </c:pt>
                <c:pt idx="17">
                  <c:v>0.82</c:v>
                </c:pt>
                <c:pt idx="18">
                  <c:v>0.80900000000000005</c:v>
                </c:pt>
                <c:pt idx="19">
                  <c:v>0.79500000000000004</c:v>
                </c:pt>
                <c:pt idx="20">
                  <c:v>0.78400000000000003</c:v>
                </c:pt>
                <c:pt idx="21">
                  <c:v>0.77400000000000002</c:v>
                </c:pt>
                <c:pt idx="22">
                  <c:v>0.76100000000000001</c:v>
                </c:pt>
                <c:pt idx="23">
                  <c:v>0.752</c:v>
                </c:pt>
                <c:pt idx="24">
                  <c:v>0.74399999999999999</c:v>
                </c:pt>
                <c:pt idx="25">
                  <c:v>0.73899999999999999</c:v>
                </c:pt>
              </c:numCache>
            </c:numRef>
          </c:val>
        </c:ser>
        <c:ser>
          <c:idx val="5"/>
          <c:order val="5"/>
          <c:tx>
            <c:v>T = 0 F</c:v>
          </c:tx>
          <c:spPr>
            <a:ln w="12700">
              <a:solidFill>
                <a:srgbClr val="800000"/>
              </a:solidFill>
              <a:prstDash val="solid"/>
            </a:ln>
          </c:spPr>
          <c:marker>
            <c:symbol val="circle"/>
            <c:size val="5"/>
            <c:spPr>
              <a:solidFill>
                <a:srgbClr val="800000"/>
              </a:solidFill>
              <a:ln>
                <a:solidFill>
                  <a:srgbClr val="800000"/>
                </a:solidFill>
                <a:prstDash val="solid"/>
              </a:ln>
            </c:spPr>
          </c:marker>
          <c:trendline>
            <c:spPr>
              <a:ln w="25400">
                <a:solidFill>
                  <a:srgbClr val="000000"/>
                </a:solidFill>
                <a:prstDash val="solid"/>
              </a:ln>
            </c:spPr>
            <c:trendlineType val="poly"/>
            <c:order val="3"/>
          </c:trendline>
          <c:val>
            <c:numRef>
              <c:f>'DATA - MW = 17.40 (Sp Gr= 0.6)'!$AF$8:$AF$33</c:f>
              <c:numCache>
                <c:formatCode>General</c:formatCode>
                <c:ptCount val="26"/>
                <c:pt idx="0">
                  <c:v>1</c:v>
                </c:pt>
                <c:pt idx="1">
                  <c:v>0.98</c:v>
                </c:pt>
                <c:pt idx="2">
                  <c:v>0.96599999999999997</c:v>
                </c:pt>
                <c:pt idx="3">
                  <c:v>0.95499999999999996</c:v>
                </c:pt>
                <c:pt idx="4">
                  <c:v>0.94199999999999995</c:v>
                </c:pt>
                <c:pt idx="5">
                  <c:v>0.92900000000000005</c:v>
                </c:pt>
                <c:pt idx="6">
                  <c:v>0.92</c:v>
                </c:pt>
                <c:pt idx="7">
                  <c:v>0.90600000000000003</c:v>
                </c:pt>
                <c:pt idx="8">
                  <c:v>0.89100000000000001</c:v>
                </c:pt>
                <c:pt idx="9">
                  <c:v>0.876</c:v>
                </c:pt>
                <c:pt idx="10">
                  <c:v>0.86299999999999999</c:v>
                </c:pt>
                <c:pt idx="11">
                  <c:v>0.85199999999999998</c:v>
                </c:pt>
                <c:pt idx="12">
                  <c:v>0.83799999999999997</c:v>
                </c:pt>
                <c:pt idx="13">
                  <c:v>0.82299999999999995</c:v>
                </c:pt>
                <c:pt idx="14">
                  <c:v>0.81200000000000006</c:v>
                </c:pt>
                <c:pt idx="15">
                  <c:v>0.8</c:v>
                </c:pt>
                <c:pt idx="16">
                  <c:v>0.78500000000000003</c:v>
                </c:pt>
                <c:pt idx="17">
                  <c:v>0.77100000000000002</c:v>
                </c:pt>
                <c:pt idx="18">
                  <c:v>0.75800000000000001</c:v>
                </c:pt>
                <c:pt idx="19">
                  <c:v>0.74099999999999999</c:v>
                </c:pt>
                <c:pt idx="20">
                  <c:v>0.72599999999999998</c:v>
                </c:pt>
                <c:pt idx="21">
                  <c:v>0.71399999999999997</c:v>
                </c:pt>
                <c:pt idx="22">
                  <c:v>0.70099999999999996</c:v>
                </c:pt>
                <c:pt idx="23">
                  <c:v>0.68899999999999995</c:v>
                </c:pt>
                <c:pt idx="24">
                  <c:v>0.67600000000000005</c:v>
                </c:pt>
                <c:pt idx="25">
                  <c:v>0.66700000000000004</c:v>
                </c:pt>
              </c:numCache>
            </c:numRef>
          </c:val>
        </c:ser>
        <c:ser>
          <c:idx val="6"/>
          <c:order val="6"/>
          <c:tx>
            <c:v>T = 125 F</c:v>
          </c:tx>
          <c:spPr>
            <a:ln w="12700">
              <a:solidFill>
                <a:srgbClr val="008080"/>
              </a:solidFill>
              <a:prstDash val="solid"/>
            </a:ln>
          </c:spPr>
          <c:marker>
            <c:symbol val="plus"/>
            <c:size val="5"/>
            <c:spPr>
              <a:noFill/>
              <a:ln>
                <a:solidFill>
                  <a:srgbClr val="008080"/>
                </a:solidFill>
                <a:prstDash val="solid"/>
              </a:ln>
            </c:spPr>
          </c:marker>
          <c:trendline>
            <c:spPr>
              <a:ln w="25400">
                <a:solidFill>
                  <a:srgbClr val="000000"/>
                </a:solidFill>
                <a:prstDash val="solid"/>
              </a:ln>
            </c:spPr>
            <c:trendlineType val="poly"/>
            <c:order val="3"/>
          </c:trendline>
          <c:val>
            <c:numRef>
              <c:f>'DATA - MW = 17.40 (Sp Gr= 0.6)'!$G$8:$G$33</c:f>
              <c:numCache>
                <c:formatCode>General</c:formatCode>
                <c:ptCount val="26"/>
                <c:pt idx="0">
                  <c:v>1</c:v>
                </c:pt>
                <c:pt idx="1">
                  <c:v>0.99350000000000005</c:v>
                </c:pt>
                <c:pt idx="2">
                  <c:v>0.98799999999999999</c:v>
                </c:pt>
                <c:pt idx="3">
                  <c:v>0.98199999999999998</c:v>
                </c:pt>
                <c:pt idx="4">
                  <c:v>0.97550000000000003</c:v>
                </c:pt>
                <c:pt idx="5">
                  <c:v>0.96849999999999992</c:v>
                </c:pt>
                <c:pt idx="6">
                  <c:v>0.96350000000000002</c:v>
                </c:pt>
                <c:pt idx="7">
                  <c:v>0.95799999999999996</c:v>
                </c:pt>
                <c:pt idx="8">
                  <c:v>0.9544999999999999</c:v>
                </c:pt>
                <c:pt idx="9">
                  <c:v>0.94950000000000001</c:v>
                </c:pt>
                <c:pt idx="10">
                  <c:v>0.94300000000000006</c:v>
                </c:pt>
                <c:pt idx="11">
                  <c:v>0.9395</c:v>
                </c:pt>
                <c:pt idx="12">
                  <c:v>0.9345</c:v>
                </c:pt>
                <c:pt idx="13">
                  <c:v>0.92999999999999994</c:v>
                </c:pt>
                <c:pt idx="14">
                  <c:v>0.92549999999999999</c:v>
                </c:pt>
                <c:pt idx="15">
                  <c:v>0.91900000000000004</c:v>
                </c:pt>
                <c:pt idx="16">
                  <c:v>0.91450000000000009</c:v>
                </c:pt>
                <c:pt idx="17">
                  <c:v>0.90850000000000009</c:v>
                </c:pt>
                <c:pt idx="18">
                  <c:v>0.90349999999999997</c:v>
                </c:pt>
                <c:pt idx="19">
                  <c:v>0.89900000000000002</c:v>
                </c:pt>
                <c:pt idx="20">
                  <c:v>0.89200000000000002</c:v>
                </c:pt>
                <c:pt idx="21">
                  <c:v>0.88700000000000001</c:v>
                </c:pt>
                <c:pt idx="22">
                  <c:v>0.88200000000000001</c:v>
                </c:pt>
                <c:pt idx="23">
                  <c:v>0.87749999999999995</c:v>
                </c:pt>
                <c:pt idx="24">
                  <c:v>0.87249999999999994</c:v>
                </c:pt>
                <c:pt idx="25">
                  <c:v>0.86749999999999994</c:v>
                </c:pt>
              </c:numCache>
            </c:numRef>
          </c:val>
        </c:ser>
        <c:marker val="1"/>
        <c:axId val="143420416"/>
        <c:axId val="143443072"/>
      </c:lineChart>
      <c:catAx>
        <c:axId val="143420416"/>
        <c:scaling>
          <c:orientation val="minMax"/>
        </c:scaling>
        <c:axPos val="b"/>
        <c:title>
          <c:tx>
            <c:rich>
              <a:bodyPr/>
              <a:lstStyle/>
              <a:p>
                <a:pPr>
                  <a:defRPr sz="1000" b="1" i="0" u="none" strike="noStrike" baseline="0">
                    <a:solidFill>
                      <a:srgbClr val="000000"/>
                    </a:solidFill>
                    <a:latin typeface="Arial"/>
                    <a:ea typeface="Arial"/>
                    <a:cs typeface="Arial"/>
                  </a:defRPr>
                </a:pPr>
                <a:r>
                  <a:rPr lang="en-US"/>
                  <a:t>Pressure (psig)</a:t>
                </a:r>
              </a:p>
            </c:rich>
          </c:tx>
          <c:layout>
            <c:manualLayout>
              <c:xMode val="edge"/>
              <c:yMode val="edge"/>
              <c:x val="0.40177580466148721"/>
              <c:y val="0.94453507340946163"/>
            </c:manualLayout>
          </c:layout>
          <c:spPr>
            <a:noFill/>
            <a:ln w="25400">
              <a:noFill/>
            </a:ln>
          </c:spPr>
        </c:title>
        <c:numFmt formatCode="General" sourceLinked="1"/>
        <c:min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3443072"/>
        <c:crossesAt val="0.6500000000000028"/>
        <c:auto val="1"/>
        <c:lblAlgn val="ctr"/>
        <c:lblOffset val="100"/>
        <c:tickLblSkip val="2"/>
        <c:tickMarkSkip val="1"/>
      </c:catAx>
      <c:valAx>
        <c:axId val="143443072"/>
        <c:scaling>
          <c:orientation val="minMax"/>
          <c:min val="0.6500000000000028"/>
        </c:scaling>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Z</a:t>
                </a:r>
              </a:p>
            </c:rich>
          </c:tx>
          <c:layout>
            <c:manualLayout>
              <c:xMode val="edge"/>
              <c:yMode val="edge"/>
              <c:x val="1.2208657047724751E-2"/>
              <c:y val="0.4991843393148485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3420416"/>
        <c:crosses val="autoZero"/>
        <c:crossBetween val="between"/>
      </c:valAx>
      <c:spPr>
        <a:solidFill>
          <a:srgbClr val="FFFFFF"/>
        </a:solidFill>
        <a:ln w="12700">
          <a:solidFill>
            <a:srgbClr val="808080"/>
          </a:solidFill>
          <a:prstDash val="solid"/>
        </a:ln>
      </c:spPr>
    </c:plotArea>
    <c:legend>
      <c:legendPos val="r"/>
      <c:layout>
        <c:manualLayout>
          <c:xMode val="edge"/>
          <c:yMode val="edge"/>
          <c:x val="0.84350721420643771"/>
          <c:y val="0.25122349102773245"/>
          <c:w val="0.15205327413984471"/>
          <c:h val="0.51549755301794198"/>
        </c:manualLayout>
      </c:layout>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lang val="en-US"/>
  <c:protection/>
  <c:chart>
    <c:title>
      <c:tx>
        <c:rich>
          <a:bodyPr/>
          <a:lstStyle/>
          <a:p>
            <a:pPr>
              <a:defRPr sz="1200" b="1" i="0" u="none" strike="noStrike" baseline="0">
                <a:solidFill>
                  <a:srgbClr val="000000"/>
                </a:solidFill>
                <a:latin typeface="Arial"/>
                <a:ea typeface="Arial"/>
                <a:cs typeface="Arial"/>
              </a:defRPr>
            </a:pPr>
            <a:r>
              <a:rPr lang="en-US"/>
              <a:t>Compressibility (Sp Gr = 0.6, MW = 17.40)</a:t>
            </a:r>
          </a:p>
        </c:rich>
      </c:tx>
      <c:layout>
        <c:manualLayout>
          <c:xMode val="edge"/>
          <c:yMode val="edge"/>
          <c:x val="0.32519422863485192"/>
          <c:y val="1.9575856443719494E-2"/>
        </c:manualLayout>
      </c:layout>
      <c:spPr>
        <a:noFill/>
        <a:ln w="25400">
          <a:noFill/>
        </a:ln>
      </c:spPr>
    </c:title>
    <c:plotArea>
      <c:layout>
        <c:manualLayout>
          <c:layoutTarget val="inner"/>
          <c:xMode val="edge"/>
          <c:yMode val="edge"/>
          <c:x val="8.5460599334073267E-2"/>
          <c:y val="0.12234910277324652"/>
          <c:w val="0.75804661487236402"/>
          <c:h val="0.77324632952691652"/>
        </c:manualLayout>
      </c:layout>
      <c:lineChart>
        <c:grouping val="standard"/>
        <c:ser>
          <c:idx val="0"/>
          <c:order val="0"/>
          <c:tx>
            <c:v>T = 145</c:v>
          </c:tx>
          <c:spPr>
            <a:ln w="12700">
              <a:solidFill>
                <a:srgbClr val="000080"/>
              </a:solidFill>
              <a:prstDash val="solid"/>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poly"/>
            <c:order val="3"/>
          </c:trendline>
          <c:cat>
            <c:numRef>
              <c:f>'DATA - MW = 17.40 (Sp Gr= 0.6)'!$A$8:$A$33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17.40 (Sp Gr= 0.6)'!$C$8:$C$33</c:f>
              <c:numCache>
                <c:formatCode>General</c:formatCode>
                <c:ptCount val="26"/>
                <c:pt idx="0">
                  <c:v>1</c:v>
                </c:pt>
                <c:pt idx="1">
                  <c:v>0.99470000000000003</c:v>
                </c:pt>
                <c:pt idx="2">
                  <c:v>0.99039999999999995</c:v>
                </c:pt>
                <c:pt idx="3">
                  <c:v>0.98439999999999994</c:v>
                </c:pt>
                <c:pt idx="4">
                  <c:v>0.97909999999999997</c:v>
                </c:pt>
                <c:pt idx="5">
                  <c:v>0.97289999999999999</c:v>
                </c:pt>
                <c:pt idx="6">
                  <c:v>0.96870000000000001</c:v>
                </c:pt>
                <c:pt idx="7">
                  <c:v>0.96279999999999999</c:v>
                </c:pt>
                <c:pt idx="8">
                  <c:v>0.9597</c:v>
                </c:pt>
                <c:pt idx="9">
                  <c:v>0.95469999999999999</c:v>
                </c:pt>
                <c:pt idx="10">
                  <c:v>0.94940000000000002</c:v>
                </c:pt>
                <c:pt idx="11">
                  <c:v>0.94709999999999994</c:v>
                </c:pt>
                <c:pt idx="12">
                  <c:v>0.94289999999999996</c:v>
                </c:pt>
                <c:pt idx="13">
                  <c:v>0.93879999999999997</c:v>
                </c:pt>
                <c:pt idx="14">
                  <c:v>0.93470000000000009</c:v>
                </c:pt>
                <c:pt idx="15">
                  <c:v>0.9294</c:v>
                </c:pt>
                <c:pt idx="16">
                  <c:v>0.92610000000000003</c:v>
                </c:pt>
                <c:pt idx="17">
                  <c:v>0.92170000000000007</c:v>
                </c:pt>
                <c:pt idx="18">
                  <c:v>0.91749999999999998</c:v>
                </c:pt>
                <c:pt idx="19">
                  <c:v>0.91420000000000001</c:v>
                </c:pt>
                <c:pt idx="20">
                  <c:v>0.90880000000000005</c:v>
                </c:pt>
                <c:pt idx="21">
                  <c:v>0.90460000000000007</c:v>
                </c:pt>
                <c:pt idx="22">
                  <c:v>0.89960000000000007</c:v>
                </c:pt>
                <c:pt idx="23">
                  <c:v>0.89549999999999996</c:v>
                </c:pt>
                <c:pt idx="24">
                  <c:v>0.89050000000000007</c:v>
                </c:pt>
                <c:pt idx="25">
                  <c:v>0.88549999999999995</c:v>
                </c:pt>
              </c:numCache>
            </c:numRef>
          </c:val>
        </c:ser>
        <c:ser>
          <c:idx val="1"/>
          <c:order val="1"/>
          <c:tx>
            <c:v>T = 140</c:v>
          </c:tx>
          <c:spPr>
            <a:ln w="12700">
              <a:solidFill>
                <a:srgbClr val="FF00FF"/>
              </a:solidFill>
              <a:prstDash val="solid"/>
            </a:ln>
          </c:spPr>
          <c:marker>
            <c:symbol val="square"/>
            <c:size val="5"/>
            <c:spPr>
              <a:solidFill>
                <a:srgbClr val="FF00FF"/>
              </a:solidFill>
              <a:ln>
                <a:solidFill>
                  <a:srgbClr val="FF00FF"/>
                </a:solidFill>
                <a:prstDash val="solid"/>
              </a:ln>
            </c:spPr>
          </c:marker>
          <c:trendline>
            <c:spPr>
              <a:ln w="25400">
                <a:solidFill>
                  <a:srgbClr val="000000"/>
                </a:solidFill>
                <a:prstDash val="solid"/>
              </a:ln>
            </c:spPr>
            <c:trendlineType val="poly"/>
            <c:order val="3"/>
          </c:trendline>
          <c:val>
            <c:numRef>
              <c:f>'DATA - MW = 17.40 (Sp Gr= 0.6)'!$D$8:$D$33</c:f>
              <c:numCache>
                <c:formatCode>General</c:formatCode>
                <c:ptCount val="26"/>
                <c:pt idx="0">
                  <c:v>1</c:v>
                </c:pt>
                <c:pt idx="1">
                  <c:v>0.99439999999999995</c:v>
                </c:pt>
                <c:pt idx="2">
                  <c:v>0.98980000000000001</c:v>
                </c:pt>
                <c:pt idx="3">
                  <c:v>0.98380000000000001</c:v>
                </c:pt>
                <c:pt idx="4">
                  <c:v>0.97819999999999996</c:v>
                </c:pt>
                <c:pt idx="5">
                  <c:v>0.9718</c:v>
                </c:pt>
                <c:pt idx="6">
                  <c:v>0.96739999999999993</c:v>
                </c:pt>
                <c:pt idx="7">
                  <c:v>0.96160000000000001</c:v>
                </c:pt>
                <c:pt idx="8">
                  <c:v>0.95839999999999992</c:v>
                </c:pt>
                <c:pt idx="9">
                  <c:v>0.95339999999999991</c:v>
                </c:pt>
                <c:pt idx="10">
                  <c:v>0.94779999999999998</c:v>
                </c:pt>
                <c:pt idx="11">
                  <c:v>0.94519999999999993</c:v>
                </c:pt>
                <c:pt idx="12">
                  <c:v>0.94079999999999997</c:v>
                </c:pt>
                <c:pt idx="13">
                  <c:v>0.93659999999999999</c:v>
                </c:pt>
                <c:pt idx="14">
                  <c:v>0.93240000000000001</c:v>
                </c:pt>
                <c:pt idx="15">
                  <c:v>0.92680000000000007</c:v>
                </c:pt>
                <c:pt idx="16">
                  <c:v>0.92320000000000002</c:v>
                </c:pt>
                <c:pt idx="17">
                  <c:v>0.91839999999999999</c:v>
                </c:pt>
                <c:pt idx="18">
                  <c:v>0.91400000000000003</c:v>
                </c:pt>
                <c:pt idx="19">
                  <c:v>0.91039999999999999</c:v>
                </c:pt>
                <c:pt idx="20">
                  <c:v>0.90460000000000007</c:v>
                </c:pt>
                <c:pt idx="21">
                  <c:v>0.9002</c:v>
                </c:pt>
                <c:pt idx="22">
                  <c:v>0.8952</c:v>
                </c:pt>
                <c:pt idx="23">
                  <c:v>0.89100000000000001</c:v>
                </c:pt>
                <c:pt idx="24">
                  <c:v>0.88600000000000001</c:v>
                </c:pt>
                <c:pt idx="25">
                  <c:v>0.88100000000000001</c:v>
                </c:pt>
              </c:numCache>
            </c:numRef>
          </c:val>
        </c:ser>
        <c:ser>
          <c:idx val="2"/>
          <c:order val="2"/>
          <c:tx>
            <c:v>T = 135</c:v>
          </c:tx>
          <c:spPr>
            <a:ln w="12700">
              <a:solidFill>
                <a:srgbClr val="FFFF00"/>
              </a:solidFill>
              <a:prstDash val="solid"/>
            </a:ln>
          </c:spPr>
          <c:marker>
            <c:symbol val="triangle"/>
            <c:size val="5"/>
            <c:spPr>
              <a:solidFill>
                <a:srgbClr val="FFFF00"/>
              </a:solidFill>
              <a:ln>
                <a:solidFill>
                  <a:srgbClr val="FFFF00"/>
                </a:solidFill>
                <a:prstDash val="solid"/>
              </a:ln>
            </c:spPr>
          </c:marker>
          <c:trendline>
            <c:spPr>
              <a:ln w="25400">
                <a:solidFill>
                  <a:srgbClr val="000000"/>
                </a:solidFill>
                <a:prstDash val="solid"/>
              </a:ln>
            </c:spPr>
            <c:trendlineType val="poly"/>
            <c:order val="3"/>
          </c:trendline>
          <c:val>
            <c:numRef>
              <c:f>'DATA - MW = 17.40 (Sp Gr= 0.6)'!$E$8:$E$33</c:f>
              <c:numCache>
                <c:formatCode>General</c:formatCode>
                <c:ptCount val="26"/>
                <c:pt idx="0">
                  <c:v>1</c:v>
                </c:pt>
                <c:pt idx="1">
                  <c:v>0.99409999999999998</c:v>
                </c:pt>
                <c:pt idx="2">
                  <c:v>0.98919999999999997</c:v>
                </c:pt>
                <c:pt idx="3">
                  <c:v>0.98319999999999996</c:v>
                </c:pt>
                <c:pt idx="4">
                  <c:v>0.97729999999999995</c:v>
                </c:pt>
                <c:pt idx="5">
                  <c:v>0.97070000000000001</c:v>
                </c:pt>
                <c:pt idx="6">
                  <c:v>0.96609999999999996</c:v>
                </c:pt>
                <c:pt idx="7">
                  <c:v>0.96039999999999992</c:v>
                </c:pt>
                <c:pt idx="8">
                  <c:v>0.95709999999999995</c:v>
                </c:pt>
                <c:pt idx="9">
                  <c:v>0.95209999999999995</c:v>
                </c:pt>
                <c:pt idx="10">
                  <c:v>0.94619999999999993</c:v>
                </c:pt>
                <c:pt idx="11">
                  <c:v>0.94330000000000003</c:v>
                </c:pt>
                <c:pt idx="12">
                  <c:v>0.93869999999999998</c:v>
                </c:pt>
                <c:pt idx="13">
                  <c:v>0.93440000000000001</c:v>
                </c:pt>
                <c:pt idx="14">
                  <c:v>0.93010000000000004</c:v>
                </c:pt>
                <c:pt idx="15">
                  <c:v>0.92420000000000002</c:v>
                </c:pt>
                <c:pt idx="16">
                  <c:v>0.92030000000000001</c:v>
                </c:pt>
                <c:pt idx="17">
                  <c:v>0.91510000000000002</c:v>
                </c:pt>
                <c:pt idx="18">
                  <c:v>0.91049999999999998</c:v>
                </c:pt>
                <c:pt idx="19">
                  <c:v>0.90660000000000007</c:v>
                </c:pt>
                <c:pt idx="20">
                  <c:v>0.90039999999999998</c:v>
                </c:pt>
                <c:pt idx="21">
                  <c:v>0.89580000000000004</c:v>
                </c:pt>
                <c:pt idx="22">
                  <c:v>0.89080000000000004</c:v>
                </c:pt>
                <c:pt idx="23">
                  <c:v>0.88650000000000007</c:v>
                </c:pt>
                <c:pt idx="24">
                  <c:v>0.88149999999999995</c:v>
                </c:pt>
                <c:pt idx="25">
                  <c:v>0.87650000000000006</c:v>
                </c:pt>
              </c:numCache>
            </c:numRef>
          </c:val>
        </c:ser>
        <c:ser>
          <c:idx val="3"/>
          <c:order val="3"/>
          <c:tx>
            <c:v>T = 130</c:v>
          </c:tx>
          <c:spPr>
            <a:ln w="12700">
              <a:solidFill>
                <a:srgbClr val="00FFFF"/>
              </a:solidFill>
              <a:prstDash val="solid"/>
            </a:ln>
          </c:spPr>
          <c:marker>
            <c:symbol val="x"/>
            <c:size val="5"/>
            <c:spPr>
              <a:noFill/>
              <a:ln>
                <a:solidFill>
                  <a:srgbClr val="00FFFF"/>
                </a:solidFill>
                <a:prstDash val="solid"/>
              </a:ln>
            </c:spPr>
          </c:marker>
          <c:trendline>
            <c:spPr>
              <a:ln w="25400">
                <a:solidFill>
                  <a:srgbClr val="000000"/>
                </a:solidFill>
                <a:prstDash val="solid"/>
              </a:ln>
            </c:spPr>
            <c:trendlineType val="poly"/>
            <c:order val="3"/>
          </c:trendline>
          <c:val>
            <c:numRef>
              <c:f>'DATA - MW = 17.40 (Sp Gr= 0.6)'!$F$8:$F$33</c:f>
              <c:numCache>
                <c:formatCode>General</c:formatCode>
                <c:ptCount val="26"/>
                <c:pt idx="0">
                  <c:v>1</c:v>
                </c:pt>
                <c:pt idx="1">
                  <c:v>0.99380000000000002</c:v>
                </c:pt>
                <c:pt idx="2">
                  <c:v>0.98860000000000003</c:v>
                </c:pt>
                <c:pt idx="3">
                  <c:v>0.98260000000000003</c:v>
                </c:pt>
                <c:pt idx="4">
                  <c:v>0.97639999999999993</c:v>
                </c:pt>
                <c:pt idx="5">
                  <c:v>0.96960000000000002</c:v>
                </c:pt>
                <c:pt idx="6">
                  <c:v>0.96479999999999999</c:v>
                </c:pt>
                <c:pt idx="7">
                  <c:v>0.95919999999999994</c:v>
                </c:pt>
                <c:pt idx="8">
                  <c:v>0.95579999999999998</c:v>
                </c:pt>
                <c:pt idx="9">
                  <c:v>0.95079999999999998</c:v>
                </c:pt>
                <c:pt idx="10">
                  <c:v>0.9446</c:v>
                </c:pt>
                <c:pt idx="11">
                  <c:v>0.94140000000000001</c:v>
                </c:pt>
                <c:pt idx="12">
                  <c:v>0.93659999999999999</c:v>
                </c:pt>
                <c:pt idx="13">
                  <c:v>0.93220000000000003</c:v>
                </c:pt>
                <c:pt idx="14">
                  <c:v>0.92780000000000007</c:v>
                </c:pt>
                <c:pt idx="15">
                  <c:v>0.92160000000000009</c:v>
                </c:pt>
                <c:pt idx="16">
                  <c:v>0.91739999999999999</c:v>
                </c:pt>
                <c:pt idx="17">
                  <c:v>0.91180000000000005</c:v>
                </c:pt>
                <c:pt idx="18">
                  <c:v>0.90700000000000003</c:v>
                </c:pt>
                <c:pt idx="19">
                  <c:v>0.90280000000000005</c:v>
                </c:pt>
                <c:pt idx="20">
                  <c:v>0.8962</c:v>
                </c:pt>
                <c:pt idx="21">
                  <c:v>0.89139999999999997</c:v>
                </c:pt>
                <c:pt idx="22">
                  <c:v>0.88639999999999997</c:v>
                </c:pt>
                <c:pt idx="23">
                  <c:v>0.88200000000000001</c:v>
                </c:pt>
                <c:pt idx="24">
                  <c:v>0.877</c:v>
                </c:pt>
                <c:pt idx="25">
                  <c:v>0.872</c:v>
                </c:pt>
              </c:numCache>
            </c:numRef>
          </c:val>
        </c:ser>
        <c:ser>
          <c:idx val="4"/>
          <c:order val="4"/>
          <c:tx>
            <c:v>T = 120</c:v>
          </c:tx>
          <c:spPr>
            <a:ln w="12700">
              <a:solidFill>
                <a:srgbClr val="800080"/>
              </a:solidFill>
              <a:prstDash val="solid"/>
            </a:ln>
          </c:spPr>
          <c:marker>
            <c:symbol val="star"/>
            <c:size val="5"/>
            <c:spPr>
              <a:noFill/>
              <a:ln>
                <a:solidFill>
                  <a:srgbClr val="800080"/>
                </a:solidFill>
                <a:prstDash val="solid"/>
              </a:ln>
            </c:spPr>
          </c:marker>
          <c:trendline>
            <c:spPr>
              <a:ln w="25400">
                <a:solidFill>
                  <a:srgbClr val="000000"/>
                </a:solidFill>
                <a:prstDash val="solid"/>
              </a:ln>
            </c:spPr>
            <c:trendlineType val="poly"/>
            <c:order val="3"/>
          </c:trendline>
          <c:val>
            <c:numRef>
              <c:f>'DATA - MW = 17.40 (Sp Gr= 0.6)'!$H$8:$H$33</c:f>
              <c:numCache>
                <c:formatCode>General</c:formatCode>
                <c:ptCount val="26"/>
                <c:pt idx="0">
                  <c:v>1</c:v>
                </c:pt>
                <c:pt idx="1">
                  <c:v>0.99319999999999997</c:v>
                </c:pt>
                <c:pt idx="2">
                  <c:v>0.98739999999999994</c:v>
                </c:pt>
                <c:pt idx="3">
                  <c:v>0.98139999999999994</c:v>
                </c:pt>
                <c:pt idx="4">
                  <c:v>0.97460000000000002</c:v>
                </c:pt>
                <c:pt idx="5">
                  <c:v>0.96739999999999993</c:v>
                </c:pt>
                <c:pt idx="6">
                  <c:v>0.96219999999999994</c:v>
                </c:pt>
                <c:pt idx="7">
                  <c:v>0.95679999999999998</c:v>
                </c:pt>
                <c:pt idx="8">
                  <c:v>0.95319999999999994</c:v>
                </c:pt>
                <c:pt idx="9">
                  <c:v>0.94819999999999993</c:v>
                </c:pt>
                <c:pt idx="10">
                  <c:v>0.94140000000000001</c:v>
                </c:pt>
                <c:pt idx="11">
                  <c:v>0.93759999999999999</c:v>
                </c:pt>
                <c:pt idx="12">
                  <c:v>0.93240000000000001</c:v>
                </c:pt>
                <c:pt idx="13">
                  <c:v>0.92779999999999996</c:v>
                </c:pt>
                <c:pt idx="14">
                  <c:v>0.92320000000000002</c:v>
                </c:pt>
                <c:pt idx="15">
                  <c:v>0.91639999999999999</c:v>
                </c:pt>
                <c:pt idx="16">
                  <c:v>0.91160000000000008</c:v>
                </c:pt>
                <c:pt idx="17">
                  <c:v>0.9052</c:v>
                </c:pt>
                <c:pt idx="18">
                  <c:v>0.9</c:v>
                </c:pt>
                <c:pt idx="19">
                  <c:v>0.8952</c:v>
                </c:pt>
                <c:pt idx="20">
                  <c:v>0.88780000000000003</c:v>
                </c:pt>
                <c:pt idx="21">
                  <c:v>0.88260000000000005</c:v>
                </c:pt>
                <c:pt idx="22">
                  <c:v>0.87760000000000005</c:v>
                </c:pt>
                <c:pt idx="23">
                  <c:v>0.873</c:v>
                </c:pt>
                <c:pt idx="24">
                  <c:v>0.86799999999999999</c:v>
                </c:pt>
                <c:pt idx="25">
                  <c:v>0.86299999999999999</c:v>
                </c:pt>
              </c:numCache>
            </c:numRef>
          </c:val>
        </c:ser>
        <c:ser>
          <c:idx val="5"/>
          <c:order val="5"/>
          <c:tx>
            <c:v>T = 115</c:v>
          </c:tx>
          <c:spPr>
            <a:ln w="12700">
              <a:solidFill>
                <a:srgbClr val="800000"/>
              </a:solidFill>
              <a:prstDash val="solid"/>
            </a:ln>
          </c:spPr>
          <c:marker>
            <c:symbol val="circle"/>
            <c:size val="5"/>
            <c:spPr>
              <a:solidFill>
                <a:srgbClr val="800000"/>
              </a:solidFill>
              <a:ln>
                <a:solidFill>
                  <a:srgbClr val="800000"/>
                </a:solidFill>
                <a:prstDash val="solid"/>
              </a:ln>
            </c:spPr>
          </c:marker>
          <c:trendline>
            <c:spPr>
              <a:ln w="25400">
                <a:solidFill>
                  <a:srgbClr val="000000"/>
                </a:solidFill>
                <a:prstDash val="solid"/>
              </a:ln>
            </c:spPr>
            <c:trendlineType val="poly"/>
            <c:order val="3"/>
          </c:trendline>
          <c:val>
            <c:numRef>
              <c:f>'DATA - MW = 17.40 (Sp Gr= 0.6)'!$I$8:$I$33</c:f>
              <c:numCache>
                <c:formatCode>General</c:formatCode>
                <c:ptCount val="26"/>
                <c:pt idx="0">
                  <c:v>1</c:v>
                </c:pt>
                <c:pt idx="1">
                  <c:v>0.9929</c:v>
                </c:pt>
                <c:pt idx="2">
                  <c:v>0.98680000000000001</c:v>
                </c:pt>
                <c:pt idx="3">
                  <c:v>0.98080000000000001</c:v>
                </c:pt>
                <c:pt idx="4">
                  <c:v>0.97370000000000001</c:v>
                </c:pt>
                <c:pt idx="5">
                  <c:v>0.96629999999999994</c:v>
                </c:pt>
                <c:pt idx="6">
                  <c:v>0.96089999999999998</c:v>
                </c:pt>
                <c:pt idx="7">
                  <c:v>0.9556</c:v>
                </c:pt>
                <c:pt idx="8">
                  <c:v>0.95189999999999997</c:v>
                </c:pt>
                <c:pt idx="9">
                  <c:v>0.94689999999999996</c:v>
                </c:pt>
                <c:pt idx="10">
                  <c:v>0.93979999999999997</c:v>
                </c:pt>
                <c:pt idx="11">
                  <c:v>0.93569999999999998</c:v>
                </c:pt>
                <c:pt idx="12">
                  <c:v>0.93030000000000002</c:v>
                </c:pt>
                <c:pt idx="13">
                  <c:v>0.92559999999999998</c:v>
                </c:pt>
                <c:pt idx="14">
                  <c:v>0.92090000000000005</c:v>
                </c:pt>
                <c:pt idx="15">
                  <c:v>0.91380000000000006</c:v>
                </c:pt>
                <c:pt idx="16">
                  <c:v>0.90870000000000006</c:v>
                </c:pt>
                <c:pt idx="17">
                  <c:v>0.90190000000000003</c:v>
                </c:pt>
                <c:pt idx="18">
                  <c:v>0.89650000000000007</c:v>
                </c:pt>
                <c:pt idx="19">
                  <c:v>0.89139999999999997</c:v>
                </c:pt>
                <c:pt idx="20">
                  <c:v>0.88360000000000005</c:v>
                </c:pt>
                <c:pt idx="21">
                  <c:v>0.87819999999999998</c:v>
                </c:pt>
                <c:pt idx="22">
                  <c:v>0.87319999999999998</c:v>
                </c:pt>
                <c:pt idx="23">
                  <c:v>0.86850000000000005</c:v>
                </c:pt>
                <c:pt idx="24">
                  <c:v>0.86349999999999993</c:v>
                </c:pt>
                <c:pt idx="25">
                  <c:v>0.85850000000000004</c:v>
                </c:pt>
              </c:numCache>
            </c:numRef>
          </c:val>
        </c:ser>
        <c:ser>
          <c:idx val="6"/>
          <c:order val="6"/>
          <c:tx>
            <c:v>T = 110</c:v>
          </c:tx>
          <c:spPr>
            <a:ln w="12700">
              <a:solidFill>
                <a:srgbClr val="008080"/>
              </a:solidFill>
              <a:prstDash val="solid"/>
            </a:ln>
          </c:spPr>
          <c:marker>
            <c:symbol val="plus"/>
            <c:size val="5"/>
            <c:spPr>
              <a:noFill/>
              <a:ln>
                <a:solidFill>
                  <a:srgbClr val="008080"/>
                </a:solidFill>
                <a:prstDash val="solid"/>
              </a:ln>
            </c:spPr>
          </c:marker>
          <c:trendline>
            <c:spPr>
              <a:ln w="25400">
                <a:solidFill>
                  <a:srgbClr val="000000"/>
                </a:solidFill>
                <a:prstDash val="solid"/>
              </a:ln>
            </c:spPr>
            <c:trendlineType val="poly"/>
            <c:order val="3"/>
          </c:trendline>
          <c:val>
            <c:numRef>
              <c:f>'DATA - MW = 17.40 (Sp Gr= 0.6)'!$J$8:$J$33</c:f>
              <c:numCache>
                <c:formatCode>General</c:formatCode>
                <c:ptCount val="26"/>
                <c:pt idx="0">
                  <c:v>1</c:v>
                </c:pt>
                <c:pt idx="1">
                  <c:v>0.99260000000000004</c:v>
                </c:pt>
                <c:pt idx="2">
                  <c:v>0.98619999999999997</c:v>
                </c:pt>
                <c:pt idx="3">
                  <c:v>0.98019999999999996</c:v>
                </c:pt>
                <c:pt idx="4">
                  <c:v>0.9728</c:v>
                </c:pt>
                <c:pt idx="5">
                  <c:v>0.96519999999999995</c:v>
                </c:pt>
                <c:pt idx="6">
                  <c:v>0.95960000000000001</c:v>
                </c:pt>
                <c:pt idx="7">
                  <c:v>0.95439999999999992</c:v>
                </c:pt>
                <c:pt idx="8">
                  <c:v>0.9506</c:v>
                </c:pt>
                <c:pt idx="9">
                  <c:v>0.9456</c:v>
                </c:pt>
                <c:pt idx="10">
                  <c:v>0.93820000000000003</c:v>
                </c:pt>
                <c:pt idx="11">
                  <c:v>0.93380000000000007</c:v>
                </c:pt>
                <c:pt idx="12">
                  <c:v>0.92820000000000003</c:v>
                </c:pt>
                <c:pt idx="13">
                  <c:v>0.9234</c:v>
                </c:pt>
                <c:pt idx="14">
                  <c:v>0.91860000000000008</c:v>
                </c:pt>
                <c:pt idx="15">
                  <c:v>0.91120000000000001</c:v>
                </c:pt>
                <c:pt idx="16">
                  <c:v>0.90580000000000005</c:v>
                </c:pt>
                <c:pt idx="17">
                  <c:v>0.89860000000000007</c:v>
                </c:pt>
                <c:pt idx="18">
                  <c:v>0.89300000000000002</c:v>
                </c:pt>
                <c:pt idx="19">
                  <c:v>0.88760000000000006</c:v>
                </c:pt>
                <c:pt idx="20">
                  <c:v>0.87939999999999996</c:v>
                </c:pt>
                <c:pt idx="21">
                  <c:v>0.87380000000000002</c:v>
                </c:pt>
                <c:pt idx="22">
                  <c:v>0.86880000000000002</c:v>
                </c:pt>
                <c:pt idx="23">
                  <c:v>0.86399999999999999</c:v>
                </c:pt>
                <c:pt idx="24">
                  <c:v>0.85899999999999999</c:v>
                </c:pt>
                <c:pt idx="25">
                  <c:v>0.85399999999999998</c:v>
                </c:pt>
              </c:numCache>
            </c:numRef>
          </c:val>
        </c:ser>
        <c:ser>
          <c:idx val="7"/>
          <c:order val="7"/>
          <c:tx>
            <c:v>T = 105</c:v>
          </c:tx>
          <c:spPr>
            <a:ln w="12700">
              <a:solidFill>
                <a:srgbClr val="0000FF"/>
              </a:solidFill>
              <a:prstDash val="solid"/>
            </a:ln>
          </c:spPr>
          <c:marker>
            <c:symbol val="dot"/>
            <c:size val="5"/>
            <c:spPr>
              <a:noFill/>
              <a:ln>
                <a:solidFill>
                  <a:srgbClr val="0000FF"/>
                </a:solidFill>
                <a:prstDash val="solid"/>
              </a:ln>
            </c:spPr>
          </c:marker>
          <c:trendline>
            <c:spPr>
              <a:ln w="25400">
                <a:solidFill>
                  <a:srgbClr val="000000"/>
                </a:solidFill>
                <a:prstDash val="solid"/>
              </a:ln>
            </c:spPr>
            <c:trendlineType val="poly"/>
            <c:order val="3"/>
          </c:trendline>
          <c:val>
            <c:numRef>
              <c:f>'DATA - MW = 17.40 (Sp Gr= 0.6)'!$K$8:$K$33</c:f>
              <c:numCache>
                <c:formatCode>General</c:formatCode>
                <c:ptCount val="26"/>
                <c:pt idx="0">
                  <c:v>1</c:v>
                </c:pt>
                <c:pt idx="1">
                  <c:v>0.99229999999999996</c:v>
                </c:pt>
                <c:pt idx="2">
                  <c:v>0.98560000000000003</c:v>
                </c:pt>
                <c:pt idx="3">
                  <c:v>0.97960000000000003</c:v>
                </c:pt>
                <c:pt idx="4">
                  <c:v>0.97189999999999999</c:v>
                </c:pt>
                <c:pt idx="5">
                  <c:v>0.96409999999999996</c:v>
                </c:pt>
                <c:pt idx="6">
                  <c:v>0.95829999999999993</c:v>
                </c:pt>
                <c:pt idx="7">
                  <c:v>0.95319999999999994</c:v>
                </c:pt>
                <c:pt idx="8">
                  <c:v>0.94929999999999992</c:v>
                </c:pt>
                <c:pt idx="9">
                  <c:v>0.94429999999999992</c:v>
                </c:pt>
                <c:pt idx="10">
                  <c:v>0.9366000000000001</c:v>
                </c:pt>
                <c:pt idx="11">
                  <c:v>0.93190000000000006</c:v>
                </c:pt>
                <c:pt idx="12">
                  <c:v>0.92610000000000003</c:v>
                </c:pt>
                <c:pt idx="13">
                  <c:v>0.92120000000000002</c:v>
                </c:pt>
                <c:pt idx="14">
                  <c:v>0.9163</c:v>
                </c:pt>
                <c:pt idx="15">
                  <c:v>0.90860000000000007</c:v>
                </c:pt>
                <c:pt idx="16">
                  <c:v>0.90290000000000004</c:v>
                </c:pt>
                <c:pt idx="17">
                  <c:v>0.89529999999999998</c:v>
                </c:pt>
                <c:pt idx="18">
                  <c:v>0.88949999999999996</c:v>
                </c:pt>
                <c:pt idx="19">
                  <c:v>0.88380000000000003</c:v>
                </c:pt>
                <c:pt idx="20">
                  <c:v>0.87519999999999998</c:v>
                </c:pt>
                <c:pt idx="21">
                  <c:v>0.86939999999999995</c:v>
                </c:pt>
                <c:pt idx="22">
                  <c:v>0.86439999999999995</c:v>
                </c:pt>
                <c:pt idx="23">
                  <c:v>0.85949999999999993</c:v>
                </c:pt>
                <c:pt idx="24">
                  <c:v>0.85450000000000004</c:v>
                </c:pt>
                <c:pt idx="25">
                  <c:v>0.84949999999999992</c:v>
                </c:pt>
              </c:numCache>
            </c:numRef>
          </c:val>
        </c:ser>
        <c:ser>
          <c:idx val="8"/>
          <c:order val="8"/>
          <c:tx>
            <c:v>T = 95</c:v>
          </c:tx>
          <c:spPr>
            <a:ln w="12700">
              <a:solidFill>
                <a:srgbClr val="00CCFF"/>
              </a:solidFill>
              <a:prstDash val="solid"/>
            </a:ln>
          </c:spPr>
          <c:marker>
            <c:symbol val="dash"/>
            <c:size val="5"/>
            <c:spPr>
              <a:noFill/>
              <a:ln>
                <a:solidFill>
                  <a:srgbClr val="00CCFF"/>
                </a:solidFill>
                <a:prstDash val="solid"/>
              </a:ln>
            </c:spPr>
          </c:marker>
          <c:trendline>
            <c:spPr>
              <a:ln w="25400">
                <a:solidFill>
                  <a:srgbClr val="000000"/>
                </a:solidFill>
                <a:prstDash val="solid"/>
              </a:ln>
            </c:spPr>
            <c:trendlineType val="poly"/>
            <c:order val="3"/>
          </c:trendline>
          <c:val>
            <c:numRef>
              <c:f>'DATA - MW = 17.40 (Sp Gr= 0.6)'!$M$8:$M$33</c:f>
              <c:numCache>
                <c:formatCode>General</c:formatCode>
                <c:ptCount val="26"/>
                <c:pt idx="0">
                  <c:v>1</c:v>
                </c:pt>
                <c:pt idx="1">
                  <c:v>0.99160000000000004</c:v>
                </c:pt>
                <c:pt idx="2">
                  <c:v>0.98439999999999994</c:v>
                </c:pt>
                <c:pt idx="3">
                  <c:v>0.97799999999999998</c:v>
                </c:pt>
                <c:pt idx="4">
                  <c:v>0.97019999999999995</c:v>
                </c:pt>
                <c:pt idx="5">
                  <c:v>0.96239999999999992</c:v>
                </c:pt>
                <c:pt idx="6">
                  <c:v>0.95619999999999994</c:v>
                </c:pt>
                <c:pt idx="7">
                  <c:v>0.95099999999999996</c:v>
                </c:pt>
                <c:pt idx="8">
                  <c:v>0.94639999999999991</c:v>
                </c:pt>
                <c:pt idx="9">
                  <c:v>0.94079999999999997</c:v>
                </c:pt>
                <c:pt idx="10">
                  <c:v>0.93300000000000005</c:v>
                </c:pt>
                <c:pt idx="11">
                  <c:v>0.92800000000000005</c:v>
                </c:pt>
                <c:pt idx="12">
                  <c:v>0.9214</c:v>
                </c:pt>
                <c:pt idx="13">
                  <c:v>0.91539999999999999</c:v>
                </c:pt>
                <c:pt idx="14">
                  <c:v>0.91020000000000001</c:v>
                </c:pt>
                <c:pt idx="15">
                  <c:v>0.9022</c:v>
                </c:pt>
                <c:pt idx="16">
                  <c:v>0.89600000000000002</c:v>
                </c:pt>
                <c:pt idx="17">
                  <c:v>0.88800000000000001</c:v>
                </c:pt>
                <c:pt idx="18">
                  <c:v>0.88180000000000003</c:v>
                </c:pt>
                <c:pt idx="19">
                  <c:v>0.87580000000000002</c:v>
                </c:pt>
                <c:pt idx="20">
                  <c:v>0.86699999999999999</c:v>
                </c:pt>
                <c:pt idx="21">
                  <c:v>0.86</c:v>
                </c:pt>
                <c:pt idx="22">
                  <c:v>0.8548</c:v>
                </c:pt>
                <c:pt idx="23">
                  <c:v>0.8498</c:v>
                </c:pt>
                <c:pt idx="24">
                  <c:v>0.84460000000000002</c:v>
                </c:pt>
                <c:pt idx="25">
                  <c:v>0.83979999999999999</c:v>
                </c:pt>
              </c:numCache>
            </c:numRef>
          </c:val>
        </c:ser>
        <c:ser>
          <c:idx val="9"/>
          <c:order val="9"/>
          <c:tx>
            <c:v>T = 90</c:v>
          </c:tx>
          <c:spPr>
            <a:ln w="12700">
              <a:solidFill>
                <a:srgbClr val="CCFFFF"/>
              </a:solidFill>
              <a:prstDash val="solid"/>
            </a:ln>
          </c:spPr>
          <c:marker>
            <c:symbol val="diamond"/>
            <c:size val="5"/>
            <c:spPr>
              <a:solidFill>
                <a:srgbClr val="CCFFFF"/>
              </a:solidFill>
              <a:ln>
                <a:solidFill>
                  <a:srgbClr val="CCFFFF"/>
                </a:solidFill>
                <a:prstDash val="solid"/>
              </a:ln>
            </c:spPr>
          </c:marker>
          <c:trendline>
            <c:spPr>
              <a:ln w="25400">
                <a:solidFill>
                  <a:srgbClr val="000000"/>
                </a:solidFill>
                <a:prstDash val="solid"/>
              </a:ln>
            </c:spPr>
            <c:trendlineType val="poly"/>
            <c:order val="3"/>
          </c:trendline>
          <c:val>
            <c:numRef>
              <c:f>'DATA - MW = 17.40 (Sp Gr= 0.6)'!$N$8:$N$33</c:f>
              <c:numCache>
                <c:formatCode>General</c:formatCode>
                <c:ptCount val="26"/>
                <c:pt idx="0">
                  <c:v>1</c:v>
                </c:pt>
                <c:pt idx="1">
                  <c:v>0.99119999999999997</c:v>
                </c:pt>
                <c:pt idx="2">
                  <c:v>0.98380000000000001</c:v>
                </c:pt>
                <c:pt idx="3">
                  <c:v>0.97699999999999998</c:v>
                </c:pt>
                <c:pt idx="4">
                  <c:v>0.96939999999999993</c:v>
                </c:pt>
                <c:pt idx="5">
                  <c:v>0.96179999999999999</c:v>
                </c:pt>
                <c:pt idx="6">
                  <c:v>0.95539999999999992</c:v>
                </c:pt>
                <c:pt idx="7">
                  <c:v>0.95</c:v>
                </c:pt>
                <c:pt idx="8">
                  <c:v>0.94479999999999997</c:v>
                </c:pt>
                <c:pt idx="9">
                  <c:v>0.93859999999999999</c:v>
                </c:pt>
                <c:pt idx="10">
                  <c:v>0.93100000000000005</c:v>
                </c:pt>
                <c:pt idx="11">
                  <c:v>0.92600000000000005</c:v>
                </c:pt>
                <c:pt idx="12">
                  <c:v>0.91880000000000006</c:v>
                </c:pt>
                <c:pt idx="13">
                  <c:v>0.91180000000000005</c:v>
                </c:pt>
                <c:pt idx="14">
                  <c:v>0.90639999999999998</c:v>
                </c:pt>
                <c:pt idx="15">
                  <c:v>0.89839999999999998</c:v>
                </c:pt>
                <c:pt idx="16">
                  <c:v>0.89200000000000002</c:v>
                </c:pt>
                <c:pt idx="17">
                  <c:v>0.88400000000000001</c:v>
                </c:pt>
                <c:pt idx="18">
                  <c:v>0.87760000000000005</c:v>
                </c:pt>
                <c:pt idx="19">
                  <c:v>0.87160000000000004</c:v>
                </c:pt>
                <c:pt idx="20">
                  <c:v>0.86299999999999999</c:v>
                </c:pt>
                <c:pt idx="21">
                  <c:v>0.85499999999999998</c:v>
                </c:pt>
                <c:pt idx="22">
                  <c:v>0.84960000000000002</c:v>
                </c:pt>
                <c:pt idx="23">
                  <c:v>0.84460000000000002</c:v>
                </c:pt>
                <c:pt idx="24">
                  <c:v>0.83919999999999995</c:v>
                </c:pt>
                <c:pt idx="25">
                  <c:v>0.83460000000000001</c:v>
                </c:pt>
              </c:numCache>
            </c:numRef>
          </c:val>
        </c:ser>
        <c:ser>
          <c:idx val="10"/>
          <c:order val="10"/>
          <c:tx>
            <c:v>T = 85</c:v>
          </c:tx>
          <c:spPr>
            <a:ln w="12700">
              <a:solidFill>
                <a:srgbClr val="CCFFCC"/>
              </a:solidFill>
              <a:prstDash val="solid"/>
            </a:ln>
          </c:spPr>
          <c:marker>
            <c:symbol val="square"/>
            <c:size val="5"/>
            <c:spPr>
              <a:solidFill>
                <a:srgbClr val="CCFFCC"/>
              </a:solidFill>
              <a:ln>
                <a:solidFill>
                  <a:srgbClr val="CCFFCC"/>
                </a:solidFill>
                <a:prstDash val="solid"/>
              </a:ln>
            </c:spPr>
          </c:marker>
          <c:trendline>
            <c:spPr>
              <a:ln w="25400">
                <a:solidFill>
                  <a:srgbClr val="000000"/>
                </a:solidFill>
                <a:prstDash val="solid"/>
              </a:ln>
            </c:spPr>
            <c:trendlineType val="poly"/>
            <c:order val="3"/>
          </c:trendline>
          <c:val>
            <c:numRef>
              <c:f>'DATA - MW = 17.40 (Sp Gr= 0.6)'!$O$8:$O$33</c:f>
              <c:numCache>
                <c:formatCode>General</c:formatCode>
                <c:ptCount val="26"/>
                <c:pt idx="0">
                  <c:v>1</c:v>
                </c:pt>
                <c:pt idx="1">
                  <c:v>0.99080000000000001</c:v>
                </c:pt>
                <c:pt idx="2">
                  <c:v>0.98319999999999996</c:v>
                </c:pt>
                <c:pt idx="3">
                  <c:v>0.97599999999999998</c:v>
                </c:pt>
                <c:pt idx="4">
                  <c:v>0.96860000000000002</c:v>
                </c:pt>
                <c:pt idx="5">
                  <c:v>0.96119999999999994</c:v>
                </c:pt>
                <c:pt idx="6">
                  <c:v>0.9546</c:v>
                </c:pt>
                <c:pt idx="7">
                  <c:v>0.94899999999999995</c:v>
                </c:pt>
                <c:pt idx="8">
                  <c:v>0.94319999999999993</c:v>
                </c:pt>
                <c:pt idx="9">
                  <c:v>0.93640000000000001</c:v>
                </c:pt>
                <c:pt idx="10">
                  <c:v>0.92900000000000005</c:v>
                </c:pt>
                <c:pt idx="11">
                  <c:v>0.92400000000000004</c:v>
                </c:pt>
                <c:pt idx="12">
                  <c:v>0.91620000000000001</c:v>
                </c:pt>
                <c:pt idx="13">
                  <c:v>0.90820000000000001</c:v>
                </c:pt>
                <c:pt idx="14">
                  <c:v>0.90260000000000007</c:v>
                </c:pt>
                <c:pt idx="15">
                  <c:v>0.89460000000000006</c:v>
                </c:pt>
                <c:pt idx="16">
                  <c:v>0.88800000000000001</c:v>
                </c:pt>
                <c:pt idx="17">
                  <c:v>0.88</c:v>
                </c:pt>
                <c:pt idx="18">
                  <c:v>0.87339999999999995</c:v>
                </c:pt>
                <c:pt idx="19">
                  <c:v>0.86739999999999995</c:v>
                </c:pt>
                <c:pt idx="20">
                  <c:v>0.85899999999999999</c:v>
                </c:pt>
                <c:pt idx="21">
                  <c:v>0.85</c:v>
                </c:pt>
                <c:pt idx="22">
                  <c:v>0.84439999999999993</c:v>
                </c:pt>
                <c:pt idx="23">
                  <c:v>0.83939999999999992</c:v>
                </c:pt>
                <c:pt idx="24">
                  <c:v>0.83379999999999999</c:v>
                </c:pt>
                <c:pt idx="25">
                  <c:v>0.82939999999999992</c:v>
                </c:pt>
              </c:numCache>
            </c:numRef>
          </c:val>
        </c:ser>
        <c:ser>
          <c:idx val="11"/>
          <c:order val="11"/>
          <c:tx>
            <c:v>T = 80</c:v>
          </c:tx>
          <c:spPr>
            <a:ln w="12700">
              <a:solidFill>
                <a:srgbClr val="FFFF99"/>
              </a:solidFill>
              <a:prstDash val="solid"/>
            </a:ln>
          </c:spPr>
          <c:marker>
            <c:symbol val="triangle"/>
            <c:size val="5"/>
            <c:spPr>
              <a:solidFill>
                <a:srgbClr val="FFFF99"/>
              </a:solidFill>
              <a:ln>
                <a:solidFill>
                  <a:srgbClr val="FFFF99"/>
                </a:solidFill>
                <a:prstDash val="solid"/>
              </a:ln>
            </c:spPr>
          </c:marker>
          <c:trendline>
            <c:spPr>
              <a:ln w="25400">
                <a:solidFill>
                  <a:srgbClr val="000000"/>
                </a:solidFill>
                <a:prstDash val="solid"/>
              </a:ln>
            </c:spPr>
            <c:trendlineType val="poly"/>
            <c:order val="3"/>
          </c:trendline>
          <c:val>
            <c:numRef>
              <c:f>'DATA - MW = 17.40 (Sp Gr= 0.6)'!$P$8:$P$33</c:f>
              <c:numCache>
                <c:formatCode>General</c:formatCode>
                <c:ptCount val="26"/>
                <c:pt idx="0">
                  <c:v>1</c:v>
                </c:pt>
                <c:pt idx="1">
                  <c:v>0.99039999999999995</c:v>
                </c:pt>
                <c:pt idx="2">
                  <c:v>0.98260000000000003</c:v>
                </c:pt>
                <c:pt idx="3">
                  <c:v>0.97499999999999998</c:v>
                </c:pt>
                <c:pt idx="4">
                  <c:v>0.96779999999999999</c:v>
                </c:pt>
                <c:pt idx="5">
                  <c:v>0.96060000000000001</c:v>
                </c:pt>
                <c:pt idx="6">
                  <c:v>0.95379999999999998</c:v>
                </c:pt>
                <c:pt idx="7">
                  <c:v>0.94799999999999995</c:v>
                </c:pt>
                <c:pt idx="8">
                  <c:v>0.94159999999999999</c:v>
                </c:pt>
                <c:pt idx="9">
                  <c:v>0.93420000000000003</c:v>
                </c:pt>
                <c:pt idx="10">
                  <c:v>0.92700000000000005</c:v>
                </c:pt>
                <c:pt idx="11">
                  <c:v>0.92200000000000004</c:v>
                </c:pt>
                <c:pt idx="12">
                  <c:v>0.91360000000000008</c:v>
                </c:pt>
                <c:pt idx="13">
                  <c:v>0.90460000000000007</c:v>
                </c:pt>
                <c:pt idx="14">
                  <c:v>0.89880000000000004</c:v>
                </c:pt>
                <c:pt idx="15">
                  <c:v>0.89080000000000004</c:v>
                </c:pt>
                <c:pt idx="16">
                  <c:v>0.88400000000000001</c:v>
                </c:pt>
                <c:pt idx="17">
                  <c:v>0.876</c:v>
                </c:pt>
                <c:pt idx="18">
                  <c:v>0.86919999999999997</c:v>
                </c:pt>
                <c:pt idx="19">
                  <c:v>0.86319999999999997</c:v>
                </c:pt>
                <c:pt idx="20">
                  <c:v>0.85499999999999998</c:v>
                </c:pt>
                <c:pt idx="21">
                  <c:v>0.84499999999999997</c:v>
                </c:pt>
                <c:pt idx="22">
                  <c:v>0.83919999999999995</c:v>
                </c:pt>
                <c:pt idx="23">
                  <c:v>0.83419999999999994</c:v>
                </c:pt>
                <c:pt idx="24">
                  <c:v>0.82839999999999991</c:v>
                </c:pt>
                <c:pt idx="25">
                  <c:v>0.82419999999999993</c:v>
                </c:pt>
              </c:numCache>
            </c:numRef>
          </c:val>
        </c:ser>
        <c:ser>
          <c:idx val="12"/>
          <c:order val="12"/>
          <c:tx>
            <c:v>T = 70</c:v>
          </c:tx>
          <c:spPr>
            <a:ln w="12700">
              <a:solidFill>
                <a:srgbClr val="99CCFF"/>
              </a:solidFill>
              <a:prstDash val="solid"/>
            </a:ln>
          </c:spPr>
          <c:marker>
            <c:symbol val="x"/>
            <c:size val="5"/>
            <c:spPr>
              <a:noFill/>
              <a:ln>
                <a:solidFill>
                  <a:srgbClr val="99CCFF"/>
                </a:solidFill>
                <a:prstDash val="solid"/>
              </a:ln>
            </c:spPr>
          </c:marker>
          <c:trendline>
            <c:spPr>
              <a:ln w="25400">
                <a:solidFill>
                  <a:srgbClr val="000000"/>
                </a:solidFill>
                <a:prstDash val="solid"/>
              </a:ln>
            </c:spPr>
            <c:trendlineType val="poly"/>
            <c:order val="3"/>
          </c:trendline>
          <c:val>
            <c:numRef>
              <c:f>'DATA - MW = 17.40 (Sp Gr= 0.6)'!$R$8:$R$33</c:f>
              <c:numCache>
                <c:formatCode>General</c:formatCode>
                <c:ptCount val="26"/>
                <c:pt idx="0">
                  <c:v>1</c:v>
                </c:pt>
                <c:pt idx="1">
                  <c:v>0.98899999999999999</c:v>
                </c:pt>
                <c:pt idx="2">
                  <c:v>0.98060000000000003</c:v>
                </c:pt>
                <c:pt idx="3">
                  <c:v>0.97260000000000002</c:v>
                </c:pt>
                <c:pt idx="4">
                  <c:v>0.96560000000000001</c:v>
                </c:pt>
                <c:pt idx="5">
                  <c:v>0.95799999999999996</c:v>
                </c:pt>
                <c:pt idx="6">
                  <c:v>0.95079999999999998</c:v>
                </c:pt>
                <c:pt idx="7">
                  <c:v>0.9446</c:v>
                </c:pt>
                <c:pt idx="8">
                  <c:v>0.93759999999999999</c:v>
                </c:pt>
                <c:pt idx="9">
                  <c:v>0.9294</c:v>
                </c:pt>
                <c:pt idx="10">
                  <c:v>0.92200000000000004</c:v>
                </c:pt>
                <c:pt idx="11">
                  <c:v>0.91600000000000004</c:v>
                </c:pt>
                <c:pt idx="12">
                  <c:v>0.90680000000000005</c:v>
                </c:pt>
                <c:pt idx="13">
                  <c:v>0.89680000000000004</c:v>
                </c:pt>
                <c:pt idx="14">
                  <c:v>0.89039999999999997</c:v>
                </c:pt>
                <c:pt idx="15">
                  <c:v>0.88239999999999996</c:v>
                </c:pt>
                <c:pt idx="16">
                  <c:v>0.875</c:v>
                </c:pt>
                <c:pt idx="17">
                  <c:v>0.86660000000000004</c:v>
                </c:pt>
                <c:pt idx="18">
                  <c:v>0.85919999999999996</c:v>
                </c:pt>
                <c:pt idx="19">
                  <c:v>0.8528</c:v>
                </c:pt>
                <c:pt idx="20">
                  <c:v>0.84460000000000002</c:v>
                </c:pt>
                <c:pt idx="21">
                  <c:v>0.83399999999999996</c:v>
                </c:pt>
                <c:pt idx="22">
                  <c:v>0.82740000000000002</c:v>
                </c:pt>
                <c:pt idx="23">
                  <c:v>0.8216</c:v>
                </c:pt>
                <c:pt idx="24">
                  <c:v>0.81559999999999999</c:v>
                </c:pt>
                <c:pt idx="25">
                  <c:v>0.81119999999999992</c:v>
                </c:pt>
              </c:numCache>
            </c:numRef>
          </c:val>
        </c:ser>
        <c:ser>
          <c:idx val="13"/>
          <c:order val="13"/>
          <c:tx>
            <c:v>T = 65</c:v>
          </c:tx>
          <c:spPr>
            <a:ln w="12700">
              <a:solidFill>
                <a:srgbClr val="FF99CC"/>
              </a:solidFill>
              <a:prstDash val="solid"/>
            </a:ln>
          </c:spPr>
          <c:marker>
            <c:symbol val="star"/>
            <c:size val="5"/>
            <c:spPr>
              <a:noFill/>
              <a:ln>
                <a:solidFill>
                  <a:srgbClr val="FF99CC"/>
                </a:solidFill>
                <a:prstDash val="solid"/>
              </a:ln>
            </c:spPr>
          </c:marker>
          <c:trendline>
            <c:spPr>
              <a:ln w="25400">
                <a:solidFill>
                  <a:srgbClr val="000000"/>
                </a:solidFill>
                <a:prstDash val="solid"/>
              </a:ln>
            </c:spPr>
            <c:trendlineType val="poly"/>
            <c:order val="3"/>
          </c:trendline>
          <c:val>
            <c:numRef>
              <c:f>'DATA - MW = 17.40 (Sp Gr= 0.6)'!$S$8:$S$33</c:f>
              <c:numCache>
                <c:formatCode>General</c:formatCode>
                <c:ptCount val="26"/>
                <c:pt idx="0">
                  <c:v>1</c:v>
                </c:pt>
                <c:pt idx="1">
                  <c:v>0.98799999999999999</c:v>
                </c:pt>
                <c:pt idx="2">
                  <c:v>0.97919999999999996</c:v>
                </c:pt>
                <c:pt idx="3">
                  <c:v>0.97119999999999995</c:v>
                </c:pt>
                <c:pt idx="4">
                  <c:v>0.96419999999999995</c:v>
                </c:pt>
                <c:pt idx="5">
                  <c:v>0.95599999999999996</c:v>
                </c:pt>
                <c:pt idx="6">
                  <c:v>0.9486</c:v>
                </c:pt>
                <c:pt idx="7">
                  <c:v>0.94220000000000004</c:v>
                </c:pt>
                <c:pt idx="8">
                  <c:v>0.93520000000000003</c:v>
                </c:pt>
                <c:pt idx="9">
                  <c:v>0.92680000000000007</c:v>
                </c:pt>
                <c:pt idx="10">
                  <c:v>0.91900000000000004</c:v>
                </c:pt>
                <c:pt idx="11">
                  <c:v>0.91200000000000003</c:v>
                </c:pt>
                <c:pt idx="12">
                  <c:v>0.90260000000000007</c:v>
                </c:pt>
                <c:pt idx="13">
                  <c:v>0.89260000000000006</c:v>
                </c:pt>
                <c:pt idx="14">
                  <c:v>0.88580000000000003</c:v>
                </c:pt>
                <c:pt idx="15">
                  <c:v>0.87780000000000002</c:v>
                </c:pt>
                <c:pt idx="16">
                  <c:v>0.87</c:v>
                </c:pt>
                <c:pt idx="17">
                  <c:v>0.86119999999999997</c:v>
                </c:pt>
                <c:pt idx="18">
                  <c:v>0.85339999999999994</c:v>
                </c:pt>
                <c:pt idx="19">
                  <c:v>0.84660000000000002</c:v>
                </c:pt>
                <c:pt idx="20">
                  <c:v>0.83819999999999995</c:v>
                </c:pt>
                <c:pt idx="21">
                  <c:v>0.82799999999999996</c:v>
                </c:pt>
                <c:pt idx="22">
                  <c:v>0.82079999999999997</c:v>
                </c:pt>
                <c:pt idx="23">
                  <c:v>0.81420000000000003</c:v>
                </c:pt>
                <c:pt idx="24">
                  <c:v>0.80820000000000003</c:v>
                </c:pt>
                <c:pt idx="25">
                  <c:v>0.8034</c:v>
                </c:pt>
              </c:numCache>
            </c:numRef>
          </c:val>
        </c:ser>
        <c:ser>
          <c:idx val="14"/>
          <c:order val="14"/>
          <c:tx>
            <c:v>T = 60</c:v>
          </c:tx>
          <c:spPr>
            <a:ln w="12700">
              <a:solidFill>
                <a:srgbClr val="CC99FF"/>
              </a:solidFill>
              <a:prstDash val="solid"/>
            </a:ln>
          </c:spPr>
          <c:marker>
            <c:symbol val="circle"/>
            <c:size val="5"/>
            <c:spPr>
              <a:solidFill>
                <a:srgbClr val="CC99FF"/>
              </a:solidFill>
              <a:ln>
                <a:solidFill>
                  <a:srgbClr val="CC99FF"/>
                </a:solidFill>
                <a:prstDash val="solid"/>
              </a:ln>
            </c:spPr>
          </c:marker>
          <c:trendline>
            <c:spPr>
              <a:ln w="25400">
                <a:solidFill>
                  <a:srgbClr val="000000"/>
                </a:solidFill>
                <a:prstDash val="solid"/>
              </a:ln>
            </c:spPr>
            <c:trendlineType val="poly"/>
            <c:order val="3"/>
          </c:trendline>
          <c:val>
            <c:numRef>
              <c:f>'DATA - MW = 17.40 (Sp Gr= 0.6)'!$T$8:$T$33</c:f>
              <c:numCache>
                <c:formatCode>General</c:formatCode>
                <c:ptCount val="26"/>
                <c:pt idx="0">
                  <c:v>1</c:v>
                </c:pt>
                <c:pt idx="1">
                  <c:v>0.98699999999999999</c:v>
                </c:pt>
                <c:pt idx="2">
                  <c:v>0.9778</c:v>
                </c:pt>
                <c:pt idx="3">
                  <c:v>0.9698</c:v>
                </c:pt>
                <c:pt idx="4">
                  <c:v>0.96279999999999999</c:v>
                </c:pt>
                <c:pt idx="5">
                  <c:v>0.95399999999999996</c:v>
                </c:pt>
                <c:pt idx="6">
                  <c:v>0.94639999999999991</c:v>
                </c:pt>
                <c:pt idx="7">
                  <c:v>0.93979999999999997</c:v>
                </c:pt>
                <c:pt idx="8">
                  <c:v>0.93279999999999996</c:v>
                </c:pt>
                <c:pt idx="9">
                  <c:v>0.92420000000000002</c:v>
                </c:pt>
                <c:pt idx="10">
                  <c:v>0.91600000000000004</c:v>
                </c:pt>
                <c:pt idx="11">
                  <c:v>0.90800000000000003</c:v>
                </c:pt>
                <c:pt idx="12">
                  <c:v>0.89839999999999998</c:v>
                </c:pt>
                <c:pt idx="13">
                  <c:v>0.88839999999999997</c:v>
                </c:pt>
                <c:pt idx="14">
                  <c:v>0.88119999999999998</c:v>
                </c:pt>
                <c:pt idx="15">
                  <c:v>0.87319999999999998</c:v>
                </c:pt>
                <c:pt idx="16">
                  <c:v>0.86499999999999999</c:v>
                </c:pt>
                <c:pt idx="17">
                  <c:v>0.85580000000000001</c:v>
                </c:pt>
                <c:pt idx="18">
                  <c:v>0.84760000000000002</c:v>
                </c:pt>
                <c:pt idx="19">
                  <c:v>0.84039999999999992</c:v>
                </c:pt>
                <c:pt idx="20">
                  <c:v>0.83179999999999998</c:v>
                </c:pt>
                <c:pt idx="21">
                  <c:v>0.82200000000000006</c:v>
                </c:pt>
                <c:pt idx="22">
                  <c:v>0.81420000000000003</c:v>
                </c:pt>
                <c:pt idx="23">
                  <c:v>0.80679999999999996</c:v>
                </c:pt>
                <c:pt idx="24">
                  <c:v>0.80079999999999996</c:v>
                </c:pt>
                <c:pt idx="25">
                  <c:v>0.79559999999999997</c:v>
                </c:pt>
              </c:numCache>
            </c:numRef>
          </c:val>
        </c:ser>
        <c:ser>
          <c:idx val="15"/>
          <c:order val="15"/>
          <c:tx>
            <c:v>T = 55</c:v>
          </c:tx>
          <c:spPr>
            <a:ln w="12700">
              <a:solidFill>
                <a:srgbClr val="FFCC99"/>
              </a:solidFill>
              <a:prstDash val="solid"/>
            </a:ln>
          </c:spPr>
          <c:marker>
            <c:symbol val="plus"/>
            <c:size val="5"/>
            <c:spPr>
              <a:noFill/>
              <a:ln>
                <a:solidFill>
                  <a:srgbClr val="FFCC99"/>
                </a:solidFill>
                <a:prstDash val="solid"/>
              </a:ln>
            </c:spPr>
          </c:marker>
          <c:trendline>
            <c:spPr>
              <a:ln w="25400">
                <a:solidFill>
                  <a:srgbClr val="000000"/>
                </a:solidFill>
                <a:prstDash val="solid"/>
              </a:ln>
            </c:spPr>
            <c:trendlineType val="poly"/>
            <c:order val="3"/>
          </c:trendline>
          <c:val>
            <c:numRef>
              <c:f>'DATA - MW = 17.40 (Sp Gr= 0.6)'!$U$8:$U$33</c:f>
              <c:numCache>
                <c:formatCode>General</c:formatCode>
                <c:ptCount val="26"/>
                <c:pt idx="0">
                  <c:v>1</c:v>
                </c:pt>
                <c:pt idx="1">
                  <c:v>0.98599999999999999</c:v>
                </c:pt>
                <c:pt idx="2">
                  <c:v>0.97639999999999993</c:v>
                </c:pt>
                <c:pt idx="3">
                  <c:v>0.96839999999999993</c:v>
                </c:pt>
                <c:pt idx="4">
                  <c:v>0.96139999999999992</c:v>
                </c:pt>
                <c:pt idx="5">
                  <c:v>0.95199999999999996</c:v>
                </c:pt>
                <c:pt idx="6">
                  <c:v>0.94419999999999993</c:v>
                </c:pt>
                <c:pt idx="7">
                  <c:v>0.93740000000000001</c:v>
                </c:pt>
                <c:pt idx="8">
                  <c:v>0.9304</c:v>
                </c:pt>
                <c:pt idx="9">
                  <c:v>0.92160000000000009</c:v>
                </c:pt>
                <c:pt idx="10">
                  <c:v>0.91300000000000003</c:v>
                </c:pt>
                <c:pt idx="11">
                  <c:v>0.90400000000000003</c:v>
                </c:pt>
                <c:pt idx="12">
                  <c:v>0.89419999999999999</c:v>
                </c:pt>
                <c:pt idx="13">
                  <c:v>0.88419999999999999</c:v>
                </c:pt>
                <c:pt idx="14">
                  <c:v>0.87660000000000005</c:v>
                </c:pt>
                <c:pt idx="15">
                  <c:v>0.86860000000000004</c:v>
                </c:pt>
                <c:pt idx="16">
                  <c:v>0.86</c:v>
                </c:pt>
                <c:pt idx="17">
                  <c:v>0.85039999999999993</c:v>
                </c:pt>
                <c:pt idx="18">
                  <c:v>0.84179999999999999</c:v>
                </c:pt>
                <c:pt idx="19">
                  <c:v>0.83419999999999994</c:v>
                </c:pt>
                <c:pt idx="20">
                  <c:v>0.82539999999999991</c:v>
                </c:pt>
                <c:pt idx="21">
                  <c:v>0.81600000000000006</c:v>
                </c:pt>
                <c:pt idx="22">
                  <c:v>0.80759999999999998</c:v>
                </c:pt>
                <c:pt idx="23">
                  <c:v>0.7994</c:v>
                </c:pt>
                <c:pt idx="24">
                  <c:v>0.79339999999999999</c:v>
                </c:pt>
                <c:pt idx="25">
                  <c:v>0.78780000000000006</c:v>
                </c:pt>
              </c:numCache>
            </c:numRef>
          </c:val>
        </c:ser>
        <c:ser>
          <c:idx val="16"/>
          <c:order val="16"/>
          <c:tx>
            <c:v>T = 45</c:v>
          </c:tx>
          <c:spPr>
            <a:ln w="12700">
              <a:solidFill>
                <a:srgbClr val="3366FF"/>
              </a:solidFill>
              <a:prstDash val="solid"/>
            </a:ln>
          </c:spPr>
          <c:marker>
            <c:symbol val="dot"/>
            <c:size val="5"/>
            <c:spPr>
              <a:noFill/>
              <a:ln>
                <a:solidFill>
                  <a:srgbClr val="3366FF"/>
                </a:solidFill>
                <a:prstDash val="solid"/>
              </a:ln>
            </c:spPr>
          </c:marker>
          <c:trendline>
            <c:spPr>
              <a:ln w="25400">
                <a:solidFill>
                  <a:srgbClr val="000000"/>
                </a:solidFill>
                <a:prstDash val="solid"/>
              </a:ln>
            </c:spPr>
            <c:trendlineType val="poly"/>
            <c:order val="3"/>
          </c:trendline>
          <c:val>
            <c:numRef>
              <c:f>'DATA - MW = 17.40 (Sp Gr= 0.6)'!$W$8:$W$33</c:f>
              <c:numCache>
                <c:formatCode>General</c:formatCode>
                <c:ptCount val="26"/>
                <c:pt idx="0">
                  <c:v>1</c:v>
                </c:pt>
                <c:pt idx="1">
                  <c:v>0.98439999999999994</c:v>
                </c:pt>
                <c:pt idx="2">
                  <c:v>0.97439999999999993</c:v>
                </c:pt>
                <c:pt idx="3">
                  <c:v>0.96660000000000001</c:v>
                </c:pt>
                <c:pt idx="4">
                  <c:v>0.95919999999999994</c:v>
                </c:pt>
                <c:pt idx="5">
                  <c:v>0.94919999999999993</c:v>
                </c:pt>
                <c:pt idx="6">
                  <c:v>0.94079999999999997</c:v>
                </c:pt>
                <c:pt idx="7">
                  <c:v>0.93340000000000001</c:v>
                </c:pt>
                <c:pt idx="8">
                  <c:v>0.92560000000000009</c:v>
                </c:pt>
                <c:pt idx="9">
                  <c:v>0.91600000000000004</c:v>
                </c:pt>
                <c:pt idx="10">
                  <c:v>0.90660000000000007</c:v>
                </c:pt>
                <c:pt idx="11">
                  <c:v>0.89639999999999997</c:v>
                </c:pt>
                <c:pt idx="12">
                  <c:v>0.88639999999999997</c:v>
                </c:pt>
                <c:pt idx="13">
                  <c:v>0.87619999999999998</c:v>
                </c:pt>
                <c:pt idx="14">
                  <c:v>0.86760000000000004</c:v>
                </c:pt>
                <c:pt idx="15">
                  <c:v>0.85899999999999999</c:v>
                </c:pt>
                <c:pt idx="16">
                  <c:v>0.85</c:v>
                </c:pt>
                <c:pt idx="17">
                  <c:v>0.84</c:v>
                </c:pt>
                <c:pt idx="18">
                  <c:v>0.8306</c:v>
                </c:pt>
                <c:pt idx="19">
                  <c:v>0.82140000000000002</c:v>
                </c:pt>
                <c:pt idx="20">
                  <c:v>0.81199999999999994</c:v>
                </c:pt>
                <c:pt idx="21">
                  <c:v>0.80280000000000007</c:v>
                </c:pt>
                <c:pt idx="22">
                  <c:v>0.79300000000000004</c:v>
                </c:pt>
                <c:pt idx="23">
                  <c:v>0.78400000000000003</c:v>
                </c:pt>
                <c:pt idx="24">
                  <c:v>0.77760000000000007</c:v>
                </c:pt>
                <c:pt idx="25">
                  <c:v>0.77180000000000004</c:v>
                </c:pt>
              </c:numCache>
            </c:numRef>
          </c:val>
        </c:ser>
        <c:ser>
          <c:idx val="17"/>
          <c:order val="17"/>
          <c:tx>
            <c:v>T = 40</c:v>
          </c:tx>
          <c:spPr>
            <a:ln w="12700">
              <a:solidFill>
                <a:srgbClr val="33CCCC"/>
              </a:solidFill>
              <a:prstDash val="solid"/>
            </a:ln>
          </c:spPr>
          <c:marker>
            <c:symbol val="dash"/>
            <c:size val="5"/>
            <c:spPr>
              <a:noFill/>
              <a:ln>
                <a:solidFill>
                  <a:srgbClr val="33CCCC"/>
                </a:solidFill>
                <a:prstDash val="solid"/>
              </a:ln>
            </c:spPr>
          </c:marker>
          <c:trendline>
            <c:spPr>
              <a:ln w="25400">
                <a:solidFill>
                  <a:srgbClr val="000000"/>
                </a:solidFill>
                <a:prstDash val="solid"/>
              </a:ln>
            </c:spPr>
            <c:trendlineType val="poly"/>
            <c:order val="3"/>
          </c:trendline>
          <c:val>
            <c:numRef>
              <c:f>'DATA - MW = 17.40 (Sp Gr= 0.6)'!$X$8:$X$33</c:f>
              <c:numCache>
                <c:formatCode>General</c:formatCode>
                <c:ptCount val="26"/>
                <c:pt idx="0">
                  <c:v>1</c:v>
                </c:pt>
                <c:pt idx="1">
                  <c:v>0.98380000000000001</c:v>
                </c:pt>
                <c:pt idx="2">
                  <c:v>0.9738</c:v>
                </c:pt>
                <c:pt idx="3">
                  <c:v>0.96619999999999995</c:v>
                </c:pt>
                <c:pt idx="4">
                  <c:v>0.95839999999999992</c:v>
                </c:pt>
                <c:pt idx="5">
                  <c:v>0.94839999999999991</c:v>
                </c:pt>
                <c:pt idx="6">
                  <c:v>0.93959999999999999</c:v>
                </c:pt>
                <c:pt idx="7">
                  <c:v>0.93180000000000007</c:v>
                </c:pt>
                <c:pt idx="8">
                  <c:v>0.92320000000000002</c:v>
                </c:pt>
                <c:pt idx="9">
                  <c:v>0.91300000000000003</c:v>
                </c:pt>
                <c:pt idx="10">
                  <c:v>0.9032</c:v>
                </c:pt>
                <c:pt idx="11">
                  <c:v>0.89280000000000004</c:v>
                </c:pt>
                <c:pt idx="12">
                  <c:v>0.88280000000000003</c:v>
                </c:pt>
                <c:pt idx="13">
                  <c:v>0.87239999999999995</c:v>
                </c:pt>
                <c:pt idx="14">
                  <c:v>0.86319999999999997</c:v>
                </c:pt>
                <c:pt idx="15">
                  <c:v>0.85399999999999998</c:v>
                </c:pt>
                <c:pt idx="16">
                  <c:v>0.84499999999999997</c:v>
                </c:pt>
                <c:pt idx="17">
                  <c:v>0.83499999999999996</c:v>
                </c:pt>
                <c:pt idx="18">
                  <c:v>0.82520000000000004</c:v>
                </c:pt>
                <c:pt idx="19">
                  <c:v>0.81479999999999997</c:v>
                </c:pt>
                <c:pt idx="20">
                  <c:v>0.80499999999999994</c:v>
                </c:pt>
                <c:pt idx="21">
                  <c:v>0.79560000000000008</c:v>
                </c:pt>
                <c:pt idx="22">
                  <c:v>0.78500000000000003</c:v>
                </c:pt>
                <c:pt idx="23">
                  <c:v>0.77600000000000002</c:v>
                </c:pt>
                <c:pt idx="24">
                  <c:v>0.76919999999999999</c:v>
                </c:pt>
                <c:pt idx="25">
                  <c:v>0.76360000000000006</c:v>
                </c:pt>
              </c:numCache>
            </c:numRef>
          </c:val>
        </c:ser>
        <c:ser>
          <c:idx val="18"/>
          <c:order val="18"/>
          <c:tx>
            <c:v>T = 35</c:v>
          </c:tx>
          <c:spPr>
            <a:ln w="12700">
              <a:solidFill>
                <a:srgbClr val="99CC00"/>
              </a:solidFill>
              <a:prstDash val="solid"/>
            </a:ln>
          </c:spPr>
          <c:marker>
            <c:symbol val="diamond"/>
            <c:size val="5"/>
            <c:spPr>
              <a:solidFill>
                <a:srgbClr val="99CC00"/>
              </a:solidFill>
              <a:ln>
                <a:solidFill>
                  <a:srgbClr val="99CC00"/>
                </a:solidFill>
                <a:prstDash val="solid"/>
              </a:ln>
            </c:spPr>
          </c:marker>
          <c:trendline>
            <c:spPr>
              <a:ln w="25400">
                <a:solidFill>
                  <a:srgbClr val="000000"/>
                </a:solidFill>
                <a:prstDash val="solid"/>
              </a:ln>
            </c:spPr>
            <c:trendlineType val="poly"/>
            <c:order val="3"/>
          </c:trendline>
          <c:val>
            <c:numRef>
              <c:f>'DATA - MW = 17.40 (Sp Gr= 0.6)'!$Y$8:$Y$33</c:f>
              <c:numCache>
                <c:formatCode>General</c:formatCode>
                <c:ptCount val="26"/>
                <c:pt idx="0">
                  <c:v>1</c:v>
                </c:pt>
                <c:pt idx="1">
                  <c:v>0.98319999999999996</c:v>
                </c:pt>
                <c:pt idx="2">
                  <c:v>0.97319999999999995</c:v>
                </c:pt>
                <c:pt idx="3">
                  <c:v>0.96579999999999999</c:v>
                </c:pt>
                <c:pt idx="4">
                  <c:v>0.95760000000000001</c:v>
                </c:pt>
                <c:pt idx="5">
                  <c:v>0.9476</c:v>
                </c:pt>
                <c:pt idx="6">
                  <c:v>0.93840000000000001</c:v>
                </c:pt>
                <c:pt idx="7">
                  <c:v>0.93020000000000003</c:v>
                </c:pt>
                <c:pt idx="8">
                  <c:v>0.92080000000000006</c:v>
                </c:pt>
                <c:pt idx="9">
                  <c:v>0.91</c:v>
                </c:pt>
                <c:pt idx="10">
                  <c:v>0.89980000000000004</c:v>
                </c:pt>
                <c:pt idx="11">
                  <c:v>0.88919999999999999</c:v>
                </c:pt>
                <c:pt idx="12">
                  <c:v>0.87919999999999998</c:v>
                </c:pt>
                <c:pt idx="13">
                  <c:v>0.86860000000000004</c:v>
                </c:pt>
                <c:pt idx="14">
                  <c:v>0.85880000000000001</c:v>
                </c:pt>
                <c:pt idx="15">
                  <c:v>0.84899999999999998</c:v>
                </c:pt>
                <c:pt idx="16">
                  <c:v>0.84</c:v>
                </c:pt>
                <c:pt idx="17">
                  <c:v>0.83</c:v>
                </c:pt>
                <c:pt idx="18">
                  <c:v>0.81979999999999997</c:v>
                </c:pt>
                <c:pt idx="19">
                  <c:v>0.80820000000000003</c:v>
                </c:pt>
                <c:pt idx="20">
                  <c:v>0.79800000000000004</c:v>
                </c:pt>
                <c:pt idx="21">
                  <c:v>0.78839999999999999</c:v>
                </c:pt>
                <c:pt idx="22">
                  <c:v>0.77700000000000002</c:v>
                </c:pt>
                <c:pt idx="23">
                  <c:v>0.76800000000000002</c:v>
                </c:pt>
                <c:pt idx="24">
                  <c:v>0.76080000000000003</c:v>
                </c:pt>
                <c:pt idx="25">
                  <c:v>0.75539999999999996</c:v>
                </c:pt>
              </c:numCache>
            </c:numRef>
          </c:val>
        </c:ser>
        <c:ser>
          <c:idx val="19"/>
          <c:order val="19"/>
          <c:tx>
            <c:v>T = 30</c:v>
          </c:tx>
          <c:spPr>
            <a:ln w="12700">
              <a:solidFill>
                <a:srgbClr val="FFCC00"/>
              </a:solidFill>
              <a:prstDash val="solid"/>
            </a:ln>
          </c:spPr>
          <c:marker>
            <c:symbol val="square"/>
            <c:size val="5"/>
            <c:spPr>
              <a:solidFill>
                <a:srgbClr val="FFCC00"/>
              </a:solidFill>
              <a:ln>
                <a:solidFill>
                  <a:srgbClr val="FFCC00"/>
                </a:solidFill>
                <a:prstDash val="solid"/>
              </a:ln>
            </c:spPr>
          </c:marker>
          <c:trendline>
            <c:spPr>
              <a:ln w="25400">
                <a:solidFill>
                  <a:srgbClr val="000000"/>
                </a:solidFill>
                <a:prstDash val="solid"/>
              </a:ln>
            </c:spPr>
            <c:trendlineType val="poly"/>
            <c:order val="3"/>
          </c:trendline>
          <c:val>
            <c:numRef>
              <c:f>'DATA - MW = 17.40 (Sp Gr= 0.6)'!$Z$8:$Z$33</c:f>
              <c:numCache>
                <c:formatCode>General</c:formatCode>
                <c:ptCount val="26"/>
                <c:pt idx="0">
                  <c:v>1</c:v>
                </c:pt>
                <c:pt idx="1">
                  <c:v>0.98260000000000003</c:v>
                </c:pt>
                <c:pt idx="2">
                  <c:v>0.97260000000000002</c:v>
                </c:pt>
                <c:pt idx="3">
                  <c:v>0.96539999999999992</c:v>
                </c:pt>
                <c:pt idx="4">
                  <c:v>0.95679999999999998</c:v>
                </c:pt>
                <c:pt idx="5">
                  <c:v>0.94679999999999997</c:v>
                </c:pt>
                <c:pt idx="6">
                  <c:v>0.93720000000000003</c:v>
                </c:pt>
                <c:pt idx="7">
                  <c:v>0.92860000000000009</c:v>
                </c:pt>
                <c:pt idx="8">
                  <c:v>0.91839999999999999</c:v>
                </c:pt>
                <c:pt idx="9">
                  <c:v>0.90700000000000003</c:v>
                </c:pt>
                <c:pt idx="10">
                  <c:v>0.89639999999999997</c:v>
                </c:pt>
                <c:pt idx="11">
                  <c:v>0.88560000000000005</c:v>
                </c:pt>
                <c:pt idx="12">
                  <c:v>0.87560000000000004</c:v>
                </c:pt>
                <c:pt idx="13">
                  <c:v>0.86480000000000001</c:v>
                </c:pt>
                <c:pt idx="14">
                  <c:v>0.85439999999999994</c:v>
                </c:pt>
                <c:pt idx="15">
                  <c:v>0.84399999999999997</c:v>
                </c:pt>
                <c:pt idx="16">
                  <c:v>0.83499999999999996</c:v>
                </c:pt>
                <c:pt idx="17">
                  <c:v>0.82499999999999996</c:v>
                </c:pt>
                <c:pt idx="18">
                  <c:v>0.81440000000000001</c:v>
                </c:pt>
                <c:pt idx="19">
                  <c:v>0.80159999999999998</c:v>
                </c:pt>
                <c:pt idx="20">
                  <c:v>0.79100000000000004</c:v>
                </c:pt>
                <c:pt idx="21">
                  <c:v>0.78120000000000001</c:v>
                </c:pt>
                <c:pt idx="22">
                  <c:v>0.76900000000000002</c:v>
                </c:pt>
                <c:pt idx="23">
                  <c:v>0.76</c:v>
                </c:pt>
                <c:pt idx="24">
                  <c:v>0.75239999999999996</c:v>
                </c:pt>
                <c:pt idx="25">
                  <c:v>0.74719999999999998</c:v>
                </c:pt>
              </c:numCache>
            </c:numRef>
          </c:val>
        </c:ser>
        <c:ser>
          <c:idx val="20"/>
          <c:order val="20"/>
          <c:tx>
            <c:v>T = 20</c:v>
          </c:tx>
          <c:spPr>
            <a:ln w="12700">
              <a:solidFill>
                <a:srgbClr val="FF9900"/>
              </a:solidFill>
              <a:prstDash val="solid"/>
            </a:ln>
          </c:spPr>
          <c:marker>
            <c:symbol val="triangle"/>
            <c:size val="5"/>
            <c:spPr>
              <a:solidFill>
                <a:srgbClr val="FF9900"/>
              </a:solidFill>
              <a:ln>
                <a:solidFill>
                  <a:srgbClr val="FF9900"/>
                </a:solidFill>
                <a:prstDash val="solid"/>
              </a:ln>
            </c:spPr>
          </c:marker>
          <c:trendline>
            <c:spPr>
              <a:ln w="25400">
                <a:solidFill>
                  <a:srgbClr val="000000"/>
                </a:solidFill>
                <a:prstDash val="solid"/>
              </a:ln>
            </c:spPr>
            <c:trendlineType val="poly"/>
            <c:order val="3"/>
          </c:trendline>
          <c:val>
            <c:numRef>
              <c:f>'DATA - MW = 17.40 (Sp Gr= 0.6)'!$AB$8:$AB$33</c:f>
              <c:numCache>
                <c:formatCode>General</c:formatCode>
                <c:ptCount val="26"/>
                <c:pt idx="0">
                  <c:v>1</c:v>
                </c:pt>
                <c:pt idx="1">
                  <c:v>0.98160000000000003</c:v>
                </c:pt>
                <c:pt idx="2">
                  <c:v>0.9708</c:v>
                </c:pt>
                <c:pt idx="3">
                  <c:v>0.96299999999999997</c:v>
                </c:pt>
                <c:pt idx="4">
                  <c:v>0.95319999999999994</c:v>
                </c:pt>
                <c:pt idx="5">
                  <c:v>0.94259999999999999</c:v>
                </c:pt>
                <c:pt idx="6">
                  <c:v>0.93280000000000007</c:v>
                </c:pt>
                <c:pt idx="7">
                  <c:v>0.92280000000000006</c:v>
                </c:pt>
                <c:pt idx="8">
                  <c:v>0.91100000000000003</c:v>
                </c:pt>
                <c:pt idx="9">
                  <c:v>0.89839999999999998</c:v>
                </c:pt>
                <c:pt idx="10">
                  <c:v>0.88700000000000001</c:v>
                </c:pt>
                <c:pt idx="11">
                  <c:v>0.876</c:v>
                </c:pt>
                <c:pt idx="12">
                  <c:v>0.86519999999999997</c:v>
                </c:pt>
                <c:pt idx="13">
                  <c:v>0.85339999999999994</c:v>
                </c:pt>
                <c:pt idx="14">
                  <c:v>0.84240000000000004</c:v>
                </c:pt>
                <c:pt idx="15">
                  <c:v>0.83119999999999994</c:v>
                </c:pt>
                <c:pt idx="16">
                  <c:v>0.82099999999999995</c:v>
                </c:pt>
                <c:pt idx="17">
                  <c:v>0.81019999999999992</c:v>
                </c:pt>
                <c:pt idx="18">
                  <c:v>0.79880000000000007</c:v>
                </c:pt>
                <c:pt idx="19">
                  <c:v>0.78420000000000001</c:v>
                </c:pt>
                <c:pt idx="20">
                  <c:v>0.77239999999999998</c:v>
                </c:pt>
                <c:pt idx="21">
                  <c:v>0.76200000000000001</c:v>
                </c:pt>
                <c:pt idx="22">
                  <c:v>0.749</c:v>
                </c:pt>
                <c:pt idx="23">
                  <c:v>0.73939999999999995</c:v>
                </c:pt>
                <c:pt idx="24">
                  <c:v>0.73040000000000005</c:v>
                </c:pt>
                <c:pt idx="25">
                  <c:v>0.72460000000000002</c:v>
                </c:pt>
              </c:numCache>
            </c:numRef>
          </c:val>
        </c:ser>
        <c:ser>
          <c:idx val="21"/>
          <c:order val="21"/>
          <c:tx>
            <c:v>T = 15</c:v>
          </c:tx>
          <c:spPr>
            <a:ln w="12700">
              <a:solidFill>
                <a:srgbClr val="FF6600"/>
              </a:solidFill>
              <a:prstDash val="solid"/>
            </a:ln>
          </c:spPr>
          <c:marker>
            <c:symbol val="x"/>
            <c:size val="5"/>
            <c:spPr>
              <a:noFill/>
              <a:ln>
                <a:solidFill>
                  <a:srgbClr val="FF6600"/>
                </a:solidFill>
                <a:prstDash val="solid"/>
              </a:ln>
            </c:spPr>
          </c:marker>
          <c:trendline>
            <c:spPr>
              <a:ln w="25400">
                <a:solidFill>
                  <a:srgbClr val="000000"/>
                </a:solidFill>
                <a:prstDash val="solid"/>
              </a:ln>
            </c:spPr>
            <c:trendlineType val="poly"/>
            <c:order val="3"/>
          </c:trendline>
          <c:val>
            <c:numRef>
              <c:f>'DATA - MW = 17.40 (Sp Gr= 0.6)'!$AC$8:$AC$33</c:f>
              <c:numCache>
                <c:formatCode>General</c:formatCode>
                <c:ptCount val="26"/>
                <c:pt idx="0">
                  <c:v>1</c:v>
                </c:pt>
                <c:pt idx="1">
                  <c:v>0.98119999999999996</c:v>
                </c:pt>
                <c:pt idx="2">
                  <c:v>0.96960000000000002</c:v>
                </c:pt>
                <c:pt idx="3">
                  <c:v>0.96099999999999997</c:v>
                </c:pt>
                <c:pt idx="4">
                  <c:v>0.95039999999999991</c:v>
                </c:pt>
                <c:pt idx="5">
                  <c:v>0.93920000000000003</c:v>
                </c:pt>
                <c:pt idx="6">
                  <c:v>0.92960000000000009</c:v>
                </c:pt>
                <c:pt idx="7">
                  <c:v>0.91860000000000008</c:v>
                </c:pt>
                <c:pt idx="8">
                  <c:v>0.90600000000000003</c:v>
                </c:pt>
                <c:pt idx="9">
                  <c:v>0.89280000000000004</c:v>
                </c:pt>
                <c:pt idx="10">
                  <c:v>0.88100000000000001</c:v>
                </c:pt>
                <c:pt idx="11">
                  <c:v>0.87</c:v>
                </c:pt>
                <c:pt idx="12">
                  <c:v>0.85839999999999994</c:v>
                </c:pt>
                <c:pt idx="13">
                  <c:v>0.8458</c:v>
                </c:pt>
                <c:pt idx="14">
                  <c:v>0.83479999999999999</c:v>
                </c:pt>
                <c:pt idx="15">
                  <c:v>0.82340000000000002</c:v>
                </c:pt>
                <c:pt idx="16">
                  <c:v>0.81199999999999994</c:v>
                </c:pt>
                <c:pt idx="17">
                  <c:v>0.8004</c:v>
                </c:pt>
                <c:pt idx="18">
                  <c:v>0.78860000000000008</c:v>
                </c:pt>
                <c:pt idx="19">
                  <c:v>0.77339999999999998</c:v>
                </c:pt>
                <c:pt idx="20">
                  <c:v>0.76080000000000003</c:v>
                </c:pt>
                <c:pt idx="21">
                  <c:v>0.75</c:v>
                </c:pt>
                <c:pt idx="22">
                  <c:v>0.73699999999999999</c:v>
                </c:pt>
                <c:pt idx="23">
                  <c:v>0.7268</c:v>
                </c:pt>
                <c:pt idx="24">
                  <c:v>0.71679999999999999</c:v>
                </c:pt>
                <c:pt idx="25">
                  <c:v>0.71020000000000005</c:v>
                </c:pt>
              </c:numCache>
            </c:numRef>
          </c:val>
        </c:ser>
        <c:ser>
          <c:idx val="22"/>
          <c:order val="22"/>
          <c:tx>
            <c:v>T = 10</c:v>
          </c:tx>
          <c:spPr>
            <a:ln w="12700">
              <a:solidFill>
                <a:srgbClr val="666699"/>
              </a:solidFill>
              <a:prstDash val="solid"/>
            </a:ln>
          </c:spPr>
          <c:marker>
            <c:symbol val="star"/>
            <c:size val="5"/>
            <c:spPr>
              <a:noFill/>
              <a:ln>
                <a:solidFill>
                  <a:srgbClr val="666699"/>
                </a:solidFill>
                <a:prstDash val="solid"/>
              </a:ln>
            </c:spPr>
          </c:marker>
          <c:trendline>
            <c:spPr>
              <a:ln w="25400">
                <a:solidFill>
                  <a:srgbClr val="000000"/>
                </a:solidFill>
                <a:prstDash val="solid"/>
              </a:ln>
            </c:spPr>
            <c:trendlineType val="poly"/>
            <c:order val="3"/>
          </c:trendline>
          <c:val>
            <c:numRef>
              <c:f>'DATA - MW = 17.40 (Sp Gr= 0.6)'!$AD$8:$AD$33</c:f>
              <c:numCache>
                <c:formatCode>General</c:formatCode>
                <c:ptCount val="26"/>
                <c:pt idx="0">
                  <c:v>1</c:v>
                </c:pt>
                <c:pt idx="1">
                  <c:v>0.98080000000000001</c:v>
                </c:pt>
                <c:pt idx="2">
                  <c:v>0.96839999999999993</c:v>
                </c:pt>
                <c:pt idx="3">
                  <c:v>0.95899999999999996</c:v>
                </c:pt>
                <c:pt idx="4">
                  <c:v>0.9476</c:v>
                </c:pt>
                <c:pt idx="5">
                  <c:v>0.93579999999999997</c:v>
                </c:pt>
                <c:pt idx="6">
                  <c:v>0.9264</c:v>
                </c:pt>
                <c:pt idx="7">
                  <c:v>0.91439999999999999</c:v>
                </c:pt>
                <c:pt idx="8">
                  <c:v>0.90100000000000002</c:v>
                </c:pt>
                <c:pt idx="9">
                  <c:v>0.88719999999999999</c:v>
                </c:pt>
                <c:pt idx="10">
                  <c:v>0.875</c:v>
                </c:pt>
                <c:pt idx="11">
                  <c:v>0.86399999999999999</c:v>
                </c:pt>
                <c:pt idx="12">
                  <c:v>0.85160000000000002</c:v>
                </c:pt>
                <c:pt idx="13">
                  <c:v>0.83819999999999995</c:v>
                </c:pt>
                <c:pt idx="14">
                  <c:v>0.82720000000000005</c:v>
                </c:pt>
                <c:pt idx="15">
                  <c:v>0.81559999999999999</c:v>
                </c:pt>
                <c:pt idx="16">
                  <c:v>0.80300000000000005</c:v>
                </c:pt>
                <c:pt idx="17">
                  <c:v>0.79059999999999997</c:v>
                </c:pt>
                <c:pt idx="18">
                  <c:v>0.77839999999999998</c:v>
                </c:pt>
                <c:pt idx="19">
                  <c:v>0.76260000000000006</c:v>
                </c:pt>
                <c:pt idx="20">
                  <c:v>0.74919999999999998</c:v>
                </c:pt>
                <c:pt idx="21">
                  <c:v>0.73799999999999999</c:v>
                </c:pt>
                <c:pt idx="22">
                  <c:v>0.72499999999999998</c:v>
                </c:pt>
                <c:pt idx="23">
                  <c:v>0.71419999999999995</c:v>
                </c:pt>
                <c:pt idx="24">
                  <c:v>0.70320000000000005</c:v>
                </c:pt>
                <c:pt idx="25">
                  <c:v>0.69579999999999997</c:v>
                </c:pt>
              </c:numCache>
            </c:numRef>
          </c:val>
        </c:ser>
        <c:ser>
          <c:idx val="23"/>
          <c:order val="23"/>
          <c:tx>
            <c:v>T = 5</c:v>
          </c:tx>
          <c:spPr>
            <a:ln w="12700">
              <a:solidFill>
                <a:srgbClr val="969696"/>
              </a:solidFill>
              <a:prstDash val="solid"/>
            </a:ln>
          </c:spPr>
          <c:marker>
            <c:symbol val="circle"/>
            <c:size val="5"/>
            <c:spPr>
              <a:solidFill>
                <a:srgbClr val="969696"/>
              </a:solidFill>
              <a:ln>
                <a:solidFill>
                  <a:srgbClr val="969696"/>
                </a:solidFill>
                <a:prstDash val="solid"/>
              </a:ln>
            </c:spPr>
          </c:marker>
          <c:trendline>
            <c:spPr>
              <a:ln w="25400">
                <a:solidFill>
                  <a:srgbClr val="000000"/>
                </a:solidFill>
                <a:prstDash val="solid"/>
              </a:ln>
            </c:spPr>
            <c:trendlineType val="poly"/>
            <c:order val="3"/>
          </c:trendline>
          <c:val>
            <c:numRef>
              <c:f>'DATA - MW = 17.40 (Sp Gr= 0.6)'!$AE$8:$AE$33</c:f>
              <c:numCache>
                <c:formatCode>General</c:formatCode>
                <c:ptCount val="26"/>
                <c:pt idx="0">
                  <c:v>1</c:v>
                </c:pt>
                <c:pt idx="1">
                  <c:v>0.98039999999999994</c:v>
                </c:pt>
                <c:pt idx="2">
                  <c:v>0.96719999999999995</c:v>
                </c:pt>
                <c:pt idx="3">
                  <c:v>0.95699999999999996</c:v>
                </c:pt>
                <c:pt idx="4">
                  <c:v>0.94479999999999997</c:v>
                </c:pt>
                <c:pt idx="5">
                  <c:v>0.93240000000000001</c:v>
                </c:pt>
                <c:pt idx="6">
                  <c:v>0.92320000000000002</c:v>
                </c:pt>
                <c:pt idx="7">
                  <c:v>0.91020000000000001</c:v>
                </c:pt>
                <c:pt idx="8">
                  <c:v>0.89600000000000002</c:v>
                </c:pt>
                <c:pt idx="9">
                  <c:v>0.88160000000000005</c:v>
                </c:pt>
                <c:pt idx="10">
                  <c:v>0.86899999999999999</c:v>
                </c:pt>
                <c:pt idx="11">
                  <c:v>0.85799999999999998</c:v>
                </c:pt>
                <c:pt idx="12">
                  <c:v>0.8448</c:v>
                </c:pt>
                <c:pt idx="13">
                  <c:v>0.8306</c:v>
                </c:pt>
                <c:pt idx="14">
                  <c:v>0.8196</c:v>
                </c:pt>
                <c:pt idx="15">
                  <c:v>0.80780000000000007</c:v>
                </c:pt>
                <c:pt idx="16">
                  <c:v>0.79400000000000004</c:v>
                </c:pt>
                <c:pt idx="17">
                  <c:v>0.78080000000000005</c:v>
                </c:pt>
                <c:pt idx="18">
                  <c:v>0.76819999999999999</c:v>
                </c:pt>
                <c:pt idx="19">
                  <c:v>0.75180000000000002</c:v>
                </c:pt>
                <c:pt idx="20">
                  <c:v>0.73760000000000003</c:v>
                </c:pt>
                <c:pt idx="21">
                  <c:v>0.72599999999999998</c:v>
                </c:pt>
                <c:pt idx="22">
                  <c:v>0.71299999999999997</c:v>
                </c:pt>
                <c:pt idx="23">
                  <c:v>0.7016</c:v>
                </c:pt>
                <c:pt idx="24">
                  <c:v>0.68959999999999999</c:v>
                </c:pt>
                <c:pt idx="25">
                  <c:v>0.68140000000000001</c:v>
                </c:pt>
              </c:numCache>
            </c:numRef>
          </c:val>
        </c:ser>
        <c:marker val="1"/>
        <c:axId val="143719424"/>
        <c:axId val="143733888"/>
      </c:lineChart>
      <c:catAx>
        <c:axId val="143719424"/>
        <c:scaling>
          <c:orientation val="minMax"/>
        </c:scaling>
        <c:axPos val="b"/>
        <c:title>
          <c:tx>
            <c:rich>
              <a:bodyPr/>
              <a:lstStyle/>
              <a:p>
                <a:pPr>
                  <a:defRPr sz="1000" b="1" i="0" u="none" strike="noStrike" baseline="0">
                    <a:solidFill>
                      <a:srgbClr val="000000"/>
                    </a:solidFill>
                    <a:latin typeface="Arial"/>
                    <a:ea typeface="Arial"/>
                    <a:cs typeface="Arial"/>
                  </a:defRPr>
                </a:pPr>
                <a:r>
                  <a:rPr lang="en-US"/>
                  <a:t>Pressure</a:t>
                </a:r>
              </a:p>
            </c:rich>
          </c:tx>
          <c:layout>
            <c:manualLayout>
              <c:xMode val="edge"/>
              <c:yMode val="edge"/>
              <c:x val="0.43174250832408562"/>
              <c:y val="0.94616639477977149"/>
            </c:manualLayout>
          </c:layout>
          <c:spPr>
            <a:noFill/>
            <a:ln w="25400">
              <a:noFill/>
            </a:ln>
          </c:spPr>
        </c:title>
        <c:numFmt formatCode="General" sourceLinked="1"/>
        <c:min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3733888"/>
        <c:crosses val="autoZero"/>
        <c:auto val="1"/>
        <c:lblAlgn val="ctr"/>
        <c:lblOffset val="100"/>
        <c:tickLblSkip val="4"/>
        <c:tickMarkSkip val="1"/>
      </c:catAx>
      <c:valAx>
        <c:axId val="143733888"/>
        <c:scaling>
          <c:orientation val="minMax"/>
          <c:min val="0.6500000000000028"/>
        </c:scaling>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Z</a:t>
                </a:r>
              </a:p>
            </c:rich>
          </c:tx>
          <c:layout>
            <c:manualLayout>
              <c:xMode val="edge"/>
              <c:yMode val="edge"/>
              <c:x val="1.1098779134295227E-2"/>
              <c:y val="0.5008156606851549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3719424"/>
        <c:crosses val="autoZero"/>
        <c:crossBetween val="between"/>
        <c:majorUnit val="2.5000000000000001E-2"/>
      </c:valAx>
      <c:spPr>
        <a:solidFill>
          <a:srgbClr val="FFFFFF"/>
        </a:solidFill>
        <a:ln w="12700">
          <a:solidFill>
            <a:srgbClr val="808080"/>
          </a:solidFill>
          <a:prstDash val="solid"/>
        </a:ln>
      </c:spPr>
    </c:plotArea>
    <c:legend>
      <c:legendPos val="r"/>
      <c:layout>
        <c:manualLayout>
          <c:xMode val="edge"/>
          <c:yMode val="edge"/>
          <c:x val="0.85571587125416504"/>
          <c:y val="8.1566068515498535E-3"/>
          <c:w val="0.138734739178691"/>
          <c:h val="0.9918433931484506"/>
        </c:manualLayout>
      </c:layout>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c:lang val="en-US"/>
  <c:protection/>
  <c:chart>
    <c:title>
      <c:tx>
        <c:rich>
          <a:bodyPr/>
          <a:lstStyle/>
          <a:p>
            <a:pPr>
              <a:defRPr sz="1200" b="1" i="0" u="none" strike="noStrike" baseline="0">
                <a:solidFill>
                  <a:srgbClr val="000000"/>
                </a:solidFill>
                <a:latin typeface="Arial"/>
                <a:ea typeface="Arial"/>
                <a:cs typeface="Arial"/>
              </a:defRPr>
            </a:pPr>
            <a:r>
              <a:rPr lang="en-US"/>
              <a:t>Compressibility (Sp Gr = 0.65, MW = 18.85)</a:t>
            </a:r>
          </a:p>
        </c:rich>
      </c:tx>
      <c:layout>
        <c:manualLayout>
          <c:xMode val="edge"/>
          <c:yMode val="edge"/>
          <c:x val="0.32075471698113206"/>
          <c:y val="1.9575856443719494E-2"/>
        </c:manualLayout>
      </c:layout>
      <c:spPr>
        <a:noFill/>
        <a:ln w="25400">
          <a:noFill/>
        </a:ln>
      </c:spPr>
    </c:title>
    <c:plotArea>
      <c:layout>
        <c:manualLayout>
          <c:layoutTarget val="inner"/>
          <c:xMode val="edge"/>
          <c:yMode val="edge"/>
          <c:x val="7.1032186459489471E-2"/>
          <c:y val="0.12234910277324652"/>
          <c:w val="0.76026637069922309"/>
          <c:h val="0.77161500815660922"/>
        </c:manualLayout>
      </c:layout>
      <c:lineChart>
        <c:grouping val="standard"/>
        <c:ser>
          <c:idx val="0"/>
          <c:order val="0"/>
          <c:tx>
            <c:v>T = 150 F</c:v>
          </c:tx>
          <c:spPr>
            <a:ln w="12700">
              <a:solidFill>
                <a:srgbClr val="000080"/>
              </a:solidFill>
              <a:prstDash val="solid"/>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poly"/>
            <c:order val="3"/>
          </c:trendline>
          <c:cat>
            <c:numRef>
              <c:f>'DATA - MW = 18.85 (Sp Gr= 0.65)'!$A$8:$A$33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18.85 (Sp Gr= 0.65)'!$B$8:$B$33</c:f>
              <c:numCache>
                <c:formatCode>General</c:formatCode>
                <c:ptCount val="26"/>
                <c:pt idx="0">
                  <c:v>1</c:v>
                </c:pt>
                <c:pt idx="1">
                  <c:v>0.99099999999999999</c:v>
                </c:pt>
                <c:pt idx="2">
                  <c:v>0.98599999999999999</c:v>
                </c:pt>
                <c:pt idx="3">
                  <c:v>0.98</c:v>
                </c:pt>
                <c:pt idx="4">
                  <c:v>0.97399999999999998</c:v>
                </c:pt>
                <c:pt idx="5">
                  <c:v>0.96899999999999997</c:v>
                </c:pt>
                <c:pt idx="6">
                  <c:v>0.96099999999999997</c:v>
                </c:pt>
                <c:pt idx="7">
                  <c:v>0.95599999999999996</c:v>
                </c:pt>
                <c:pt idx="8">
                  <c:v>0.95</c:v>
                </c:pt>
                <c:pt idx="9">
                  <c:v>0.94499999999999995</c:v>
                </c:pt>
                <c:pt idx="10">
                  <c:v>0.93899999999999995</c:v>
                </c:pt>
                <c:pt idx="11">
                  <c:v>0.93500000000000005</c:v>
                </c:pt>
                <c:pt idx="12">
                  <c:v>0.93200000000000005</c:v>
                </c:pt>
                <c:pt idx="13">
                  <c:v>0.92700000000000005</c:v>
                </c:pt>
                <c:pt idx="14">
                  <c:v>0.92100000000000004</c:v>
                </c:pt>
                <c:pt idx="15">
                  <c:v>0.91600000000000004</c:v>
                </c:pt>
                <c:pt idx="16">
                  <c:v>0.90900000000000003</c:v>
                </c:pt>
                <c:pt idx="17">
                  <c:v>0.90500000000000003</c:v>
                </c:pt>
                <c:pt idx="18">
                  <c:v>0.90100000000000002</c:v>
                </c:pt>
                <c:pt idx="19">
                  <c:v>0.89600000000000002</c:v>
                </c:pt>
                <c:pt idx="20">
                  <c:v>0.89</c:v>
                </c:pt>
                <c:pt idx="21">
                  <c:v>0.88500000000000001</c:v>
                </c:pt>
                <c:pt idx="22">
                  <c:v>0.88</c:v>
                </c:pt>
                <c:pt idx="23">
                  <c:v>0.875</c:v>
                </c:pt>
                <c:pt idx="24">
                  <c:v>0.87</c:v>
                </c:pt>
                <c:pt idx="25">
                  <c:v>0.86699999999999999</c:v>
                </c:pt>
              </c:numCache>
            </c:numRef>
          </c:val>
        </c:ser>
        <c:ser>
          <c:idx val="1"/>
          <c:order val="1"/>
          <c:tx>
            <c:v>T = 100 F</c:v>
          </c:tx>
          <c:spPr>
            <a:ln w="12700">
              <a:solidFill>
                <a:srgbClr val="FF00FF"/>
              </a:solidFill>
              <a:prstDash val="solid"/>
            </a:ln>
          </c:spPr>
          <c:marker>
            <c:symbol val="square"/>
            <c:size val="5"/>
            <c:spPr>
              <a:solidFill>
                <a:srgbClr val="FF00FF"/>
              </a:solidFill>
              <a:ln>
                <a:solidFill>
                  <a:srgbClr val="FF00FF"/>
                </a:solidFill>
                <a:prstDash val="solid"/>
              </a:ln>
            </c:spPr>
          </c:marker>
          <c:trendline>
            <c:spPr>
              <a:ln w="25400">
                <a:solidFill>
                  <a:srgbClr val="000000"/>
                </a:solidFill>
                <a:prstDash val="solid"/>
              </a:ln>
            </c:spPr>
            <c:trendlineType val="poly"/>
            <c:order val="3"/>
          </c:trendline>
          <c:cat>
            <c:numRef>
              <c:f>'DATA - MW = 18.85 (Sp Gr= 0.65)'!$A$8:$A$33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18.85 (Sp Gr= 0.65)'!$L$8:$L$33</c:f>
              <c:numCache>
                <c:formatCode>General</c:formatCode>
                <c:ptCount val="26"/>
                <c:pt idx="0">
                  <c:v>1</c:v>
                </c:pt>
                <c:pt idx="1">
                  <c:v>0.98699999999999999</c:v>
                </c:pt>
                <c:pt idx="2">
                  <c:v>0.97599999999999998</c:v>
                </c:pt>
                <c:pt idx="3">
                  <c:v>0.97</c:v>
                </c:pt>
                <c:pt idx="4">
                  <c:v>0.96099999999999997</c:v>
                </c:pt>
                <c:pt idx="5">
                  <c:v>0.95399999999999996</c:v>
                </c:pt>
                <c:pt idx="6">
                  <c:v>0.94599999999999995</c:v>
                </c:pt>
                <c:pt idx="7">
                  <c:v>0.93799999999999994</c:v>
                </c:pt>
                <c:pt idx="8">
                  <c:v>0.93100000000000005</c:v>
                </c:pt>
                <c:pt idx="9">
                  <c:v>0.92700000000000005</c:v>
                </c:pt>
                <c:pt idx="10">
                  <c:v>0.91900000000000004</c:v>
                </c:pt>
                <c:pt idx="11">
                  <c:v>0.91</c:v>
                </c:pt>
                <c:pt idx="12">
                  <c:v>0.90300000000000002</c:v>
                </c:pt>
                <c:pt idx="13">
                  <c:v>0.89600000000000002</c:v>
                </c:pt>
                <c:pt idx="14">
                  <c:v>0.88700000000000001</c:v>
                </c:pt>
                <c:pt idx="15">
                  <c:v>0.88</c:v>
                </c:pt>
                <c:pt idx="16">
                  <c:v>0.872</c:v>
                </c:pt>
                <c:pt idx="17">
                  <c:v>0.86399999999999999</c:v>
                </c:pt>
                <c:pt idx="18">
                  <c:v>0.85899999999999999</c:v>
                </c:pt>
                <c:pt idx="19">
                  <c:v>0.85299999999999998</c:v>
                </c:pt>
                <c:pt idx="20">
                  <c:v>0.84499999999999997</c:v>
                </c:pt>
                <c:pt idx="21">
                  <c:v>0.83599999999999997</c:v>
                </c:pt>
                <c:pt idx="22">
                  <c:v>0.82799999999999996</c:v>
                </c:pt>
                <c:pt idx="23">
                  <c:v>0.82199999999999995</c:v>
                </c:pt>
                <c:pt idx="24">
                  <c:v>0.81799999999999995</c:v>
                </c:pt>
                <c:pt idx="25">
                  <c:v>0.81200000000000006</c:v>
                </c:pt>
              </c:numCache>
            </c:numRef>
          </c:val>
        </c:ser>
        <c:ser>
          <c:idx val="2"/>
          <c:order val="2"/>
          <c:tx>
            <c:v>T = 75 F</c:v>
          </c:tx>
          <c:spPr>
            <a:ln w="12700">
              <a:solidFill>
                <a:srgbClr val="FFFF00"/>
              </a:solidFill>
              <a:prstDash val="solid"/>
            </a:ln>
          </c:spPr>
          <c:marker>
            <c:symbol val="triangle"/>
            <c:size val="5"/>
            <c:spPr>
              <a:solidFill>
                <a:srgbClr val="FFFF00"/>
              </a:solidFill>
              <a:ln>
                <a:solidFill>
                  <a:srgbClr val="FFFF00"/>
                </a:solidFill>
                <a:prstDash val="solid"/>
              </a:ln>
            </c:spPr>
          </c:marker>
          <c:trendline>
            <c:spPr>
              <a:ln w="25400">
                <a:solidFill>
                  <a:srgbClr val="000000"/>
                </a:solidFill>
                <a:prstDash val="solid"/>
              </a:ln>
            </c:spPr>
            <c:trendlineType val="poly"/>
            <c:order val="3"/>
          </c:trendline>
          <c:cat>
            <c:numRef>
              <c:f>'DATA - MW = 18.85 (Sp Gr= 0.65)'!$A$8:$A$33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18.85 (Sp Gr= 0.65)'!$Q$8:$Q$33</c:f>
              <c:numCache>
                <c:formatCode>General</c:formatCode>
                <c:ptCount val="26"/>
                <c:pt idx="0">
                  <c:v>1</c:v>
                </c:pt>
                <c:pt idx="1">
                  <c:v>0.98499999999999999</c:v>
                </c:pt>
                <c:pt idx="2">
                  <c:v>0.97499999999999998</c:v>
                </c:pt>
                <c:pt idx="3">
                  <c:v>0.96899999999999997</c:v>
                </c:pt>
                <c:pt idx="4">
                  <c:v>0.95899999999999996</c:v>
                </c:pt>
                <c:pt idx="5">
                  <c:v>0.95</c:v>
                </c:pt>
                <c:pt idx="6">
                  <c:v>0.94</c:v>
                </c:pt>
                <c:pt idx="7">
                  <c:v>0.93</c:v>
                </c:pt>
                <c:pt idx="8">
                  <c:v>0.92400000000000004</c:v>
                </c:pt>
                <c:pt idx="9">
                  <c:v>0.91300000000000003</c:v>
                </c:pt>
                <c:pt idx="10">
                  <c:v>0.90700000000000003</c:v>
                </c:pt>
                <c:pt idx="11">
                  <c:v>0.89600000000000002</c:v>
                </c:pt>
                <c:pt idx="12">
                  <c:v>0.88600000000000001</c:v>
                </c:pt>
                <c:pt idx="13">
                  <c:v>0.879</c:v>
                </c:pt>
                <c:pt idx="14">
                  <c:v>0.86799999999999999</c:v>
                </c:pt>
                <c:pt idx="15">
                  <c:v>0.86</c:v>
                </c:pt>
                <c:pt idx="16">
                  <c:v>0.85</c:v>
                </c:pt>
                <c:pt idx="17">
                  <c:v>0.83899999999999997</c:v>
                </c:pt>
                <c:pt idx="18">
                  <c:v>0.83</c:v>
                </c:pt>
                <c:pt idx="19">
                  <c:v>0.82</c:v>
                </c:pt>
                <c:pt idx="20">
                  <c:v>0.81399999999999995</c:v>
                </c:pt>
                <c:pt idx="21">
                  <c:v>0.80500000000000005</c:v>
                </c:pt>
                <c:pt idx="22">
                  <c:v>0.79600000000000004</c:v>
                </c:pt>
                <c:pt idx="23">
                  <c:v>0.78800000000000003</c:v>
                </c:pt>
                <c:pt idx="24">
                  <c:v>0.78</c:v>
                </c:pt>
                <c:pt idx="25">
                  <c:v>0.77</c:v>
                </c:pt>
              </c:numCache>
            </c:numRef>
          </c:val>
        </c:ser>
        <c:ser>
          <c:idx val="3"/>
          <c:order val="3"/>
          <c:tx>
            <c:v>T = 50 F</c:v>
          </c:tx>
          <c:spPr>
            <a:ln w="12700">
              <a:solidFill>
                <a:srgbClr val="00FFFF"/>
              </a:solidFill>
              <a:prstDash val="solid"/>
            </a:ln>
          </c:spPr>
          <c:marker>
            <c:symbol val="x"/>
            <c:size val="5"/>
            <c:spPr>
              <a:noFill/>
              <a:ln>
                <a:solidFill>
                  <a:srgbClr val="00FFFF"/>
                </a:solidFill>
                <a:prstDash val="solid"/>
              </a:ln>
            </c:spPr>
          </c:marker>
          <c:trendline>
            <c:spPr>
              <a:ln w="25400">
                <a:solidFill>
                  <a:srgbClr val="000000"/>
                </a:solidFill>
                <a:prstDash val="solid"/>
              </a:ln>
            </c:spPr>
            <c:trendlineType val="poly"/>
            <c:order val="3"/>
          </c:trendline>
          <c:cat>
            <c:numRef>
              <c:f>'DATA - MW = 18.85 (Sp Gr= 0.65)'!$A$8:$A$33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18.85 (Sp Gr= 0.65)'!$V$8:$V$33</c:f>
              <c:numCache>
                <c:formatCode>General</c:formatCode>
                <c:ptCount val="26"/>
                <c:pt idx="0">
                  <c:v>1</c:v>
                </c:pt>
                <c:pt idx="1">
                  <c:v>0.98199999999999998</c:v>
                </c:pt>
                <c:pt idx="2">
                  <c:v>0.97499999999999998</c:v>
                </c:pt>
                <c:pt idx="3">
                  <c:v>0.96599999999999997</c:v>
                </c:pt>
                <c:pt idx="4">
                  <c:v>0.95599999999999996</c:v>
                </c:pt>
                <c:pt idx="5">
                  <c:v>0.94499999999999995</c:v>
                </c:pt>
                <c:pt idx="6">
                  <c:v>0.93500000000000005</c:v>
                </c:pt>
                <c:pt idx="7">
                  <c:v>0.92500000000000004</c:v>
                </c:pt>
                <c:pt idx="8">
                  <c:v>0.91400000000000003</c:v>
                </c:pt>
                <c:pt idx="9">
                  <c:v>0.90500000000000003</c:v>
                </c:pt>
                <c:pt idx="10">
                  <c:v>0.89600000000000002</c:v>
                </c:pt>
                <c:pt idx="11">
                  <c:v>0.88400000000000001</c:v>
                </c:pt>
                <c:pt idx="12">
                  <c:v>0.871</c:v>
                </c:pt>
                <c:pt idx="13">
                  <c:v>0.86299999999999999</c:v>
                </c:pt>
                <c:pt idx="14">
                  <c:v>0.85199999999999998</c:v>
                </c:pt>
                <c:pt idx="15">
                  <c:v>0.84099999999999997</c:v>
                </c:pt>
                <c:pt idx="16">
                  <c:v>0.83</c:v>
                </c:pt>
                <c:pt idx="17">
                  <c:v>0.81699999999999995</c:v>
                </c:pt>
                <c:pt idx="18">
                  <c:v>0.80600000000000005</c:v>
                </c:pt>
                <c:pt idx="19">
                  <c:v>0.8</c:v>
                </c:pt>
                <c:pt idx="20">
                  <c:v>0.78500000000000003</c:v>
                </c:pt>
                <c:pt idx="21">
                  <c:v>0.77200000000000002</c:v>
                </c:pt>
                <c:pt idx="22">
                  <c:v>0.76100000000000001</c:v>
                </c:pt>
                <c:pt idx="23">
                  <c:v>0.753</c:v>
                </c:pt>
                <c:pt idx="24">
                  <c:v>0.745</c:v>
                </c:pt>
                <c:pt idx="25">
                  <c:v>0.73599999999999999</c:v>
                </c:pt>
              </c:numCache>
            </c:numRef>
          </c:val>
        </c:ser>
        <c:ser>
          <c:idx val="4"/>
          <c:order val="4"/>
          <c:tx>
            <c:v>T = 25 F</c:v>
          </c:tx>
          <c:spPr>
            <a:ln w="12700">
              <a:solidFill>
                <a:srgbClr val="800080"/>
              </a:solidFill>
              <a:prstDash val="solid"/>
            </a:ln>
          </c:spPr>
          <c:marker>
            <c:symbol val="star"/>
            <c:size val="5"/>
            <c:spPr>
              <a:noFill/>
              <a:ln>
                <a:solidFill>
                  <a:srgbClr val="800080"/>
                </a:solidFill>
                <a:prstDash val="solid"/>
              </a:ln>
            </c:spPr>
          </c:marker>
          <c:trendline>
            <c:spPr>
              <a:ln w="25400">
                <a:solidFill>
                  <a:srgbClr val="000000"/>
                </a:solidFill>
                <a:prstDash val="solid"/>
              </a:ln>
            </c:spPr>
            <c:trendlineType val="poly"/>
            <c:order val="3"/>
          </c:trendline>
          <c:cat>
            <c:numRef>
              <c:f>'DATA - MW = 18.85 (Sp Gr= 0.65)'!$A$8:$A$33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18.85 (Sp Gr= 0.65)'!$AA$8:$AA$33</c:f>
              <c:numCache>
                <c:formatCode>General</c:formatCode>
                <c:ptCount val="26"/>
                <c:pt idx="0">
                  <c:v>1</c:v>
                </c:pt>
                <c:pt idx="1">
                  <c:v>0.98</c:v>
                </c:pt>
                <c:pt idx="2">
                  <c:v>0.96499999999999997</c:v>
                </c:pt>
                <c:pt idx="3">
                  <c:v>0.95199999999999996</c:v>
                </c:pt>
                <c:pt idx="4">
                  <c:v>0.93899999999999995</c:v>
                </c:pt>
                <c:pt idx="5">
                  <c:v>0.93</c:v>
                </c:pt>
                <c:pt idx="6">
                  <c:v>0.91500000000000004</c:v>
                </c:pt>
                <c:pt idx="7">
                  <c:v>0.90300000000000002</c:v>
                </c:pt>
                <c:pt idx="8">
                  <c:v>0.88900000000000001</c:v>
                </c:pt>
                <c:pt idx="9">
                  <c:v>0.876</c:v>
                </c:pt>
                <c:pt idx="10">
                  <c:v>0.86499999999999999</c:v>
                </c:pt>
                <c:pt idx="11">
                  <c:v>0.85299999999999998</c:v>
                </c:pt>
                <c:pt idx="12">
                  <c:v>0.83599999999999997</c:v>
                </c:pt>
                <c:pt idx="13">
                  <c:v>0.82199999999999995</c:v>
                </c:pt>
                <c:pt idx="14">
                  <c:v>0.81200000000000006</c:v>
                </c:pt>
                <c:pt idx="15">
                  <c:v>0.80200000000000005</c:v>
                </c:pt>
                <c:pt idx="16">
                  <c:v>0.78900000000000003</c:v>
                </c:pt>
                <c:pt idx="17">
                  <c:v>0.77200000000000002</c:v>
                </c:pt>
                <c:pt idx="18">
                  <c:v>0.75900000000000001</c:v>
                </c:pt>
                <c:pt idx="19">
                  <c:v>0.75</c:v>
                </c:pt>
                <c:pt idx="20">
                  <c:v>0.73499999999999999</c:v>
                </c:pt>
                <c:pt idx="21">
                  <c:v>0.72</c:v>
                </c:pt>
                <c:pt idx="22">
                  <c:v>0.70899999999999996</c:v>
                </c:pt>
                <c:pt idx="23">
                  <c:v>0.7</c:v>
                </c:pt>
                <c:pt idx="24">
                  <c:v>0.68899999999999995</c:v>
                </c:pt>
                <c:pt idx="25">
                  <c:v>0.67600000000000005</c:v>
                </c:pt>
              </c:numCache>
            </c:numRef>
          </c:val>
        </c:ser>
        <c:ser>
          <c:idx val="5"/>
          <c:order val="5"/>
          <c:tx>
            <c:v>T = 0 F</c:v>
          </c:tx>
          <c:spPr>
            <a:ln w="12700">
              <a:solidFill>
                <a:srgbClr val="800000"/>
              </a:solidFill>
              <a:prstDash val="solid"/>
            </a:ln>
          </c:spPr>
          <c:marker>
            <c:symbol val="circle"/>
            <c:size val="5"/>
            <c:spPr>
              <a:solidFill>
                <a:srgbClr val="800000"/>
              </a:solidFill>
              <a:ln>
                <a:solidFill>
                  <a:srgbClr val="800000"/>
                </a:solidFill>
                <a:prstDash val="solid"/>
              </a:ln>
            </c:spPr>
          </c:marker>
          <c:trendline>
            <c:spPr>
              <a:ln w="25400">
                <a:solidFill>
                  <a:srgbClr val="000000"/>
                </a:solidFill>
                <a:prstDash val="solid"/>
              </a:ln>
            </c:spPr>
            <c:trendlineType val="poly"/>
            <c:order val="3"/>
          </c:trendline>
          <c:cat>
            <c:numRef>
              <c:f>'DATA - MW = 18.85 (Sp Gr= 0.65)'!$A$8:$A$33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18.85 (Sp Gr= 0.65)'!$AF$8:$AF$33</c:f>
              <c:numCache>
                <c:formatCode>General</c:formatCode>
                <c:ptCount val="26"/>
                <c:pt idx="0">
                  <c:v>1</c:v>
                </c:pt>
                <c:pt idx="1">
                  <c:v>0.96666666666666667</c:v>
                </c:pt>
                <c:pt idx="2">
                  <c:v>0.94833333333333325</c:v>
                </c:pt>
                <c:pt idx="3">
                  <c:v>0.93199999999999994</c:v>
                </c:pt>
                <c:pt idx="4">
                  <c:v>0.91566666666666674</c:v>
                </c:pt>
                <c:pt idx="5">
                  <c:v>0.89666666666666672</c:v>
                </c:pt>
                <c:pt idx="6">
                  <c:v>0.88166666666666671</c:v>
                </c:pt>
                <c:pt idx="7">
                  <c:v>0.86466666666666669</c:v>
                </c:pt>
                <c:pt idx="8">
                  <c:v>0.84399999999999997</c:v>
                </c:pt>
                <c:pt idx="9">
                  <c:v>0.83266666666666667</c:v>
                </c:pt>
                <c:pt idx="10">
                  <c:v>0.81499999999999995</c:v>
                </c:pt>
                <c:pt idx="11">
                  <c:v>0.79133333333333322</c:v>
                </c:pt>
                <c:pt idx="12">
                  <c:v>0.78100000000000014</c:v>
                </c:pt>
                <c:pt idx="13">
                  <c:v>0.76033333333333342</c:v>
                </c:pt>
                <c:pt idx="14">
                  <c:v>0.74199999999999999</c:v>
                </c:pt>
                <c:pt idx="15">
                  <c:v>0.72199999999999998</c:v>
                </c:pt>
                <c:pt idx="16">
                  <c:v>0.70733333333333326</c:v>
                </c:pt>
                <c:pt idx="17">
                  <c:v>0.68366666666666664</c:v>
                </c:pt>
                <c:pt idx="18">
                  <c:v>0.66566666666666663</c:v>
                </c:pt>
                <c:pt idx="19">
                  <c:v>0.64999999999999991</c:v>
                </c:pt>
                <c:pt idx="20">
                  <c:v>0.63500000000000012</c:v>
                </c:pt>
                <c:pt idx="21">
                  <c:v>0.60666666666666669</c:v>
                </c:pt>
                <c:pt idx="22">
                  <c:v>0.57900000000000007</c:v>
                </c:pt>
                <c:pt idx="23">
                  <c:v>0.56000000000000005</c:v>
                </c:pt>
                <c:pt idx="24">
                  <c:v>0.54900000000000004</c:v>
                </c:pt>
                <c:pt idx="25">
                  <c:v>0.53266666666666662</c:v>
                </c:pt>
              </c:numCache>
            </c:numRef>
          </c:val>
        </c:ser>
        <c:ser>
          <c:idx val="6"/>
          <c:order val="6"/>
          <c:tx>
            <c:v>T = 125 F</c:v>
          </c:tx>
          <c:spPr>
            <a:ln w="12700">
              <a:solidFill>
                <a:srgbClr val="008080"/>
              </a:solidFill>
              <a:prstDash val="solid"/>
            </a:ln>
          </c:spPr>
          <c:marker>
            <c:symbol val="plus"/>
            <c:size val="5"/>
            <c:spPr>
              <a:noFill/>
              <a:ln>
                <a:solidFill>
                  <a:srgbClr val="008080"/>
                </a:solidFill>
                <a:prstDash val="solid"/>
              </a:ln>
            </c:spPr>
          </c:marker>
          <c:trendline>
            <c:spPr>
              <a:ln w="25400">
                <a:solidFill>
                  <a:srgbClr val="000000"/>
                </a:solidFill>
                <a:prstDash val="solid"/>
              </a:ln>
            </c:spPr>
            <c:trendlineType val="poly"/>
            <c:order val="3"/>
          </c:trendline>
          <c:cat>
            <c:numRef>
              <c:f>'DATA - MW = 18.85 (Sp Gr= 0.65)'!$A$8:$A$33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18.85 (Sp Gr= 0.65)'!$G$8:$G$33</c:f>
              <c:numCache>
                <c:formatCode>General</c:formatCode>
                <c:ptCount val="26"/>
                <c:pt idx="0">
                  <c:v>1</c:v>
                </c:pt>
                <c:pt idx="1">
                  <c:v>0.98899999999999999</c:v>
                </c:pt>
                <c:pt idx="2">
                  <c:v>0.98099999999999998</c:v>
                </c:pt>
                <c:pt idx="3">
                  <c:v>0.97499999999999998</c:v>
                </c:pt>
                <c:pt idx="4">
                  <c:v>0.96750000000000003</c:v>
                </c:pt>
                <c:pt idx="5">
                  <c:v>0.96150000000000002</c:v>
                </c:pt>
                <c:pt idx="6">
                  <c:v>0.95350000000000001</c:v>
                </c:pt>
                <c:pt idx="7">
                  <c:v>0.94699999999999995</c:v>
                </c:pt>
                <c:pt idx="8">
                  <c:v>0.9405</c:v>
                </c:pt>
                <c:pt idx="9">
                  <c:v>0.93599999999999994</c:v>
                </c:pt>
                <c:pt idx="10">
                  <c:v>0.92900000000000005</c:v>
                </c:pt>
                <c:pt idx="11">
                  <c:v>0.9225000000000001</c:v>
                </c:pt>
                <c:pt idx="12">
                  <c:v>0.91749999999999998</c:v>
                </c:pt>
                <c:pt idx="13">
                  <c:v>0.91149999999999998</c:v>
                </c:pt>
                <c:pt idx="14">
                  <c:v>0.90400000000000003</c:v>
                </c:pt>
                <c:pt idx="15">
                  <c:v>0.89800000000000002</c:v>
                </c:pt>
                <c:pt idx="16">
                  <c:v>0.89050000000000007</c:v>
                </c:pt>
                <c:pt idx="17">
                  <c:v>0.88449999999999995</c:v>
                </c:pt>
                <c:pt idx="18">
                  <c:v>0.88</c:v>
                </c:pt>
                <c:pt idx="19">
                  <c:v>0.87450000000000006</c:v>
                </c:pt>
                <c:pt idx="20">
                  <c:v>0.86749999999999994</c:v>
                </c:pt>
                <c:pt idx="21">
                  <c:v>0.86049999999999993</c:v>
                </c:pt>
                <c:pt idx="22">
                  <c:v>0.85399999999999998</c:v>
                </c:pt>
                <c:pt idx="23">
                  <c:v>0.84849999999999992</c:v>
                </c:pt>
                <c:pt idx="24">
                  <c:v>0.84399999999999997</c:v>
                </c:pt>
                <c:pt idx="25">
                  <c:v>0.83950000000000002</c:v>
                </c:pt>
              </c:numCache>
            </c:numRef>
          </c:val>
        </c:ser>
        <c:marker val="1"/>
        <c:axId val="143895936"/>
        <c:axId val="143914496"/>
      </c:lineChart>
      <c:catAx>
        <c:axId val="143895936"/>
        <c:scaling>
          <c:orientation val="minMax"/>
        </c:scaling>
        <c:axPos val="b"/>
        <c:title>
          <c:tx>
            <c:rich>
              <a:bodyPr/>
              <a:lstStyle/>
              <a:p>
                <a:pPr>
                  <a:defRPr sz="1000" b="1" i="0" u="none" strike="noStrike" baseline="0">
                    <a:solidFill>
                      <a:srgbClr val="000000"/>
                    </a:solidFill>
                    <a:latin typeface="Arial"/>
                    <a:ea typeface="Arial"/>
                    <a:cs typeface="Arial"/>
                  </a:defRPr>
                </a:pPr>
                <a:r>
                  <a:rPr lang="en-US"/>
                  <a:t>Pressure (psig)</a:t>
                </a:r>
              </a:p>
            </c:rich>
          </c:tx>
          <c:layout>
            <c:manualLayout>
              <c:xMode val="edge"/>
              <c:yMode val="edge"/>
              <c:x val="0.39733629300777179"/>
              <c:y val="0.94453507340946163"/>
            </c:manualLayout>
          </c:layout>
          <c:spPr>
            <a:noFill/>
            <a:ln w="25400">
              <a:noFill/>
            </a:ln>
          </c:spPr>
        </c:title>
        <c:numFmt formatCode="General" sourceLinked="1"/>
        <c:min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3914496"/>
        <c:crossesAt val="0.5"/>
        <c:auto val="1"/>
        <c:lblAlgn val="ctr"/>
        <c:lblOffset val="100"/>
        <c:tickLblSkip val="2"/>
        <c:tickMarkSkip val="1"/>
      </c:catAx>
      <c:valAx>
        <c:axId val="143914496"/>
        <c:scaling>
          <c:orientation val="minMax"/>
          <c:min val="0.5"/>
        </c:scaling>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Z</a:t>
                </a:r>
              </a:p>
            </c:rich>
          </c:tx>
          <c:layout>
            <c:manualLayout>
              <c:xMode val="edge"/>
              <c:yMode val="edge"/>
              <c:x val="1.2208657047724751E-2"/>
              <c:y val="0.4991843393148485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3895936"/>
        <c:crosses val="autoZero"/>
        <c:crossBetween val="between"/>
      </c:valAx>
      <c:spPr>
        <a:solidFill>
          <a:srgbClr val="FFFFFF"/>
        </a:solidFill>
        <a:ln w="12700">
          <a:solidFill>
            <a:srgbClr val="808080"/>
          </a:solidFill>
          <a:prstDash val="solid"/>
        </a:ln>
      </c:spPr>
    </c:plotArea>
    <c:legend>
      <c:legendPos val="r"/>
      <c:layout>
        <c:manualLayout>
          <c:xMode val="edge"/>
          <c:yMode val="edge"/>
          <c:x val="0.84350721420643771"/>
          <c:y val="0.26753670473083196"/>
          <c:w val="0.15205327413984471"/>
          <c:h val="0.48123980424143559"/>
        </c:manualLayout>
      </c:layout>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c:lang val="en-US"/>
  <c:protection/>
  <c:chart>
    <c:title>
      <c:tx>
        <c:rich>
          <a:bodyPr/>
          <a:lstStyle/>
          <a:p>
            <a:pPr>
              <a:defRPr sz="1200" b="1" i="0" u="none" strike="noStrike" baseline="0">
                <a:solidFill>
                  <a:srgbClr val="000000"/>
                </a:solidFill>
                <a:latin typeface="Arial"/>
                <a:ea typeface="Arial"/>
                <a:cs typeface="Arial"/>
              </a:defRPr>
            </a:pPr>
            <a:r>
              <a:rPr lang="en-US"/>
              <a:t>Compressibility (Sp Gr = 0.65, MW = 18.85)</a:t>
            </a:r>
          </a:p>
        </c:rich>
      </c:tx>
      <c:layout>
        <c:manualLayout>
          <c:xMode val="edge"/>
          <c:yMode val="edge"/>
          <c:x val="0.32075471698113206"/>
          <c:y val="1.9575856443719494E-2"/>
        </c:manualLayout>
      </c:layout>
      <c:spPr>
        <a:noFill/>
        <a:ln w="25400">
          <a:noFill/>
        </a:ln>
      </c:spPr>
    </c:title>
    <c:plotArea>
      <c:layout>
        <c:manualLayout>
          <c:layoutTarget val="inner"/>
          <c:xMode val="edge"/>
          <c:yMode val="edge"/>
          <c:x val="7.7691453940066935E-2"/>
          <c:y val="0.12234910277324652"/>
          <c:w val="0.76581576026637299"/>
          <c:h val="0.77324632952691652"/>
        </c:manualLayout>
      </c:layout>
      <c:lineChart>
        <c:grouping val="standard"/>
        <c:ser>
          <c:idx val="0"/>
          <c:order val="0"/>
          <c:tx>
            <c:v>T = 145</c:v>
          </c:tx>
          <c:spPr>
            <a:ln w="12700">
              <a:solidFill>
                <a:srgbClr val="000080"/>
              </a:solidFill>
              <a:prstDash val="solid"/>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poly"/>
            <c:order val="3"/>
          </c:trendline>
          <c:cat>
            <c:numRef>
              <c:f>'DATA - MW = 18.85 (Sp Gr= 0.65)'!$A$8:$A$33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18.85 (Sp Gr= 0.65)'!$C$8:$C$33</c:f>
              <c:numCache>
                <c:formatCode>General</c:formatCode>
                <c:ptCount val="26"/>
                <c:pt idx="0">
                  <c:v>1</c:v>
                </c:pt>
                <c:pt idx="1">
                  <c:v>0.99060000000000004</c:v>
                </c:pt>
                <c:pt idx="2">
                  <c:v>0.98499999999999999</c:v>
                </c:pt>
                <c:pt idx="3">
                  <c:v>0.97899999999999998</c:v>
                </c:pt>
                <c:pt idx="4">
                  <c:v>0.97270000000000001</c:v>
                </c:pt>
                <c:pt idx="5">
                  <c:v>0.96750000000000003</c:v>
                </c:pt>
                <c:pt idx="6">
                  <c:v>0.95950000000000002</c:v>
                </c:pt>
                <c:pt idx="7">
                  <c:v>0.95419999999999994</c:v>
                </c:pt>
                <c:pt idx="8">
                  <c:v>0.94809999999999994</c:v>
                </c:pt>
                <c:pt idx="9">
                  <c:v>0.94319999999999993</c:v>
                </c:pt>
                <c:pt idx="10">
                  <c:v>0.93699999999999994</c:v>
                </c:pt>
                <c:pt idx="11">
                  <c:v>0.9325</c:v>
                </c:pt>
                <c:pt idx="12">
                  <c:v>0.92910000000000004</c:v>
                </c:pt>
                <c:pt idx="13">
                  <c:v>0.92390000000000005</c:v>
                </c:pt>
                <c:pt idx="14">
                  <c:v>0.91760000000000008</c:v>
                </c:pt>
                <c:pt idx="15">
                  <c:v>0.91239999999999999</c:v>
                </c:pt>
                <c:pt idx="16">
                  <c:v>0.90529999999999999</c:v>
                </c:pt>
                <c:pt idx="17">
                  <c:v>0.90090000000000003</c:v>
                </c:pt>
                <c:pt idx="18">
                  <c:v>0.89680000000000004</c:v>
                </c:pt>
                <c:pt idx="19">
                  <c:v>0.89170000000000005</c:v>
                </c:pt>
                <c:pt idx="20">
                  <c:v>0.88549999999999995</c:v>
                </c:pt>
                <c:pt idx="21">
                  <c:v>0.88009999999999999</c:v>
                </c:pt>
                <c:pt idx="22">
                  <c:v>0.87480000000000002</c:v>
                </c:pt>
                <c:pt idx="23">
                  <c:v>0.86970000000000003</c:v>
                </c:pt>
                <c:pt idx="24">
                  <c:v>0.86480000000000001</c:v>
                </c:pt>
                <c:pt idx="25">
                  <c:v>0.86150000000000004</c:v>
                </c:pt>
              </c:numCache>
            </c:numRef>
          </c:val>
        </c:ser>
        <c:ser>
          <c:idx val="1"/>
          <c:order val="1"/>
          <c:tx>
            <c:v>T = 140</c:v>
          </c:tx>
          <c:spPr>
            <a:ln w="12700">
              <a:solidFill>
                <a:srgbClr val="FF00FF"/>
              </a:solidFill>
              <a:prstDash val="solid"/>
            </a:ln>
          </c:spPr>
          <c:marker>
            <c:symbol val="square"/>
            <c:size val="5"/>
            <c:spPr>
              <a:solidFill>
                <a:srgbClr val="FF00FF"/>
              </a:solidFill>
              <a:ln>
                <a:solidFill>
                  <a:srgbClr val="FF00FF"/>
                </a:solidFill>
                <a:prstDash val="solid"/>
              </a:ln>
            </c:spPr>
          </c:marker>
          <c:trendline>
            <c:spPr>
              <a:ln w="25400">
                <a:solidFill>
                  <a:srgbClr val="000000"/>
                </a:solidFill>
                <a:prstDash val="solid"/>
              </a:ln>
            </c:spPr>
            <c:trendlineType val="poly"/>
            <c:order val="3"/>
          </c:trendline>
          <c:cat>
            <c:numRef>
              <c:f>'DATA - MW = 18.85 (Sp Gr= 0.65)'!$A$8:$A$33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18.85 (Sp Gr= 0.65)'!$D$8:$D$33</c:f>
              <c:numCache>
                <c:formatCode>General</c:formatCode>
                <c:ptCount val="26"/>
                <c:pt idx="0">
                  <c:v>1</c:v>
                </c:pt>
                <c:pt idx="1">
                  <c:v>0.99019999999999997</c:v>
                </c:pt>
                <c:pt idx="2">
                  <c:v>0.98399999999999999</c:v>
                </c:pt>
                <c:pt idx="3">
                  <c:v>0.97799999999999998</c:v>
                </c:pt>
                <c:pt idx="4">
                  <c:v>0.97139999999999993</c:v>
                </c:pt>
                <c:pt idx="5">
                  <c:v>0.96599999999999997</c:v>
                </c:pt>
                <c:pt idx="6">
                  <c:v>0.95799999999999996</c:v>
                </c:pt>
                <c:pt idx="7">
                  <c:v>0.95239999999999991</c:v>
                </c:pt>
                <c:pt idx="8">
                  <c:v>0.94619999999999993</c:v>
                </c:pt>
                <c:pt idx="9">
                  <c:v>0.94140000000000001</c:v>
                </c:pt>
                <c:pt idx="10">
                  <c:v>0.93499999999999994</c:v>
                </c:pt>
                <c:pt idx="11">
                  <c:v>0.93</c:v>
                </c:pt>
                <c:pt idx="12">
                  <c:v>0.92620000000000002</c:v>
                </c:pt>
                <c:pt idx="13">
                  <c:v>0.92080000000000006</c:v>
                </c:pt>
                <c:pt idx="14">
                  <c:v>0.91420000000000001</c:v>
                </c:pt>
                <c:pt idx="15">
                  <c:v>0.90880000000000005</c:v>
                </c:pt>
                <c:pt idx="16">
                  <c:v>0.90160000000000007</c:v>
                </c:pt>
                <c:pt idx="17">
                  <c:v>0.89680000000000004</c:v>
                </c:pt>
                <c:pt idx="18">
                  <c:v>0.89260000000000006</c:v>
                </c:pt>
                <c:pt idx="19">
                  <c:v>0.88739999999999997</c:v>
                </c:pt>
                <c:pt idx="20">
                  <c:v>0.88100000000000001</c:v>
                </c:pt>
                <c:pt idx="21">
                  <c:v>0.87519999999999998</c:v>
                </c:pt>
                <c:pt idx="22">
                  <c:v>0.86960000000000004</c:v>
                </c:pt>
                <c:pt idx="23">
                  <c:v>0.86439999999999995</c:v>
                </c:pt>
                <c:pt idx="24">
                  <c:v>0.85960000000000003</c:v>
                </c:pt>
                <c:pt idx="25">
                  <c:v>0.85599999999999998</c:v>
                </c:pt>
              </c:numCache>
            </c:numRef>
          </c:val>
        </c:ser>
        <c:ser>
          <c:idx val="2"/>
          <c:order val="2"/>
          <c:tx>
            <c:v>T = 135</c:v>
          </c:tx>
          <c:spPr>
            <a:ln w="12700">
              <a:solidFill>
                <a:srgbClr val="FFFF00"/>
              </a:solidFill>
              <a:prstDash val="solid"/>
            </a:ln>
          </c:spPr>
          <c:marker>
            <c:symbol val="triangle"/>
            <c:size val="5"/>
            <c:spPr>
              <a:solidFill>
                <a:srgbClr val="FFFF00"/>
              </a:solidFill>
              <a:ln>
                <a:solidFill>
                  <a:srgbClr val="FFFF00"/>
                </a:solidFill>
                <a:prstDash val="solid"/>
              </a:ln>
            </c:spPr>
          </c:marker>
          <c:trendline>
            <c:spPr>
              <a:ln w="25400">
                <a:solidFill>
                  <a:srgbClr val="000000"/>
                </a:solidFill>
                <a:prstDash val="solid"/>
              </a:ln>
            </c:spPr>
            <c:trendlineType val="poly"/>
            <c:order val="3"/>
          </c:trendline>
          <c:cat>
            <c:numRef>
              <c:f>'DATA - MW = 18.85 (Sp Gr= 0.65)'!$A$8:$A$33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18.85 (Sp Gr= 0.65)'!$E$8:$E$33</c:f>
              <c:numCache>
                <c:formatCode>General</c:formatCode>
                <c:ptCount val="26"/>
                <c:pt idx="0">
                  <c:v>1</c:v>
                </c:pt>
                <c:pt idx="1">
                  <c:v>0.98980000000000001</c:v>
                </c:pt>
                <c:pt idx="2">
                  <c:v>0.98299999999999998</c:v>
                </c:pt>
                <c:pt idx="3">
                  <c:v>0.97699999999999998</c:v>
                </c:pt>
                <c:pt idx="4">
                  <c:v>0.97009999999999996</c:v>
                </c:pt>
                <c:pt idx="5">
                  <c:v>0.96449999999999991</c:v>
                </c:pt>
                <c:pt idx="6">
                  <c:v>0.95649999999999991</c:v>
                </c:pt>
                <c:pt idx="7">
                  <c:v>0.9506</c:v>
                </c:pt>
                <c:pt idx="8">
                  <c:v>0.94430000000000003</c:v>
                </c:pt>
                <c:pt idx="9">
                  <c:v>0.93959999999999999</c:v>
                </c:pt>
                <c:pt idx="10">
                  <c:v>0.93299999999999994</c:v>
                </c:pt>
                <c:pt idx="11">
                  <c:v>0.92749999999999999</c:v>
                </c:pt>
                <c:pt idx="12">
                  <c:v>0.92330000000000001</c:v>
                </c:pt>
                <c:pt idx="13">
                  <c:v>0.91770000000000007</c:v>
                </c:pt>
                <c:pt idx="14">
                  <c:v>0.91080000000000005</c:v>
                </c:pt>
                <c:pt idx="15">
                  <c:v>0.9052</c:v>
                </c:pt>
                <c:pt idx="16">
                  <c:v>0.89790000000000003</c:v>
                </c:pt>
                <c:pt idx="17">
                  <c:v>0.89270000000000005</c:v>
                </c:pt>
                <c:pt idx="18">
                  <c:v>0.88839999999999997</c:v>
                </c:pt>
                <c:pt idx="19">
                  <c:v>0.8831</c:v>
                </c:pt>
                <c:pt idx="20">
                  <c:v>0.87650000000000006</c:v>
                </c:pt>
                <c:pt idx="21">
                  <c:v>0.87029999999999996</c:v>
                </c:pt>
                <c:pt idx="22">
                  <c:v>0.86439999999999995</c:v>
                </c:pt>
                <c:pt idx="23">
                  <c:v>0.85909999999999997</c:v>
                </c:pt>
                <c:pt idx="24">
                  <c:v>0.85439999999999994</c:v>
                </c:pt>
                <c:pt idx="25">
                  <c:v>0.85050000000000003</c:v>
                </c:pt>
              </c:numCache>
            </c:numRef>
          </c:val>
        </c:ser>
        <c:ser>
          <c:idx val="3"/>
          <c:order val="3"/>
          <c:tx>
            <c:v>T = 130</c:v>
          </c:tx>
          <c:spPr>
            <a:ln w="12700">
              <a:solidFill>
                <a:srgbClr val="00FFFF"/>
              </a:solidFill>
              <a:prstDash val="solid"/>
            </a:ln>
          </c:spPr>
          <c:marker>
            <c:symbol val="x"/>
            <c:size val="5"/>
            <c:spPr>
              <a:noFill/>
              <a:ln>
                <a:solidFill>
                  <a:srgbClr val="00FFFF"/>
                </a:solidFill>
                <a:prstDash val="solid"/>
              </a:ln>
            </c:spPr>
          </c:marker>
          <c:trendline>
            <c:spPr>
              <a:ln w="25400">
                <a:solidFill>
                  <a:srgbClr val="000000"/>
                </a:solidFill>
                <a:prstDash val="solid"/>
              </a:ln>
            </c:spPr>
            <c:trendlineType val="poly"/>
            <c:order val="3"/>
          </c:trendline>
          <c:cat>
            <c:numRef>
              <c:f>'DATA - MW = 18.85 (Sp Gr= 0.65)'!$A$8:$A$33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18.85 (Sp Gr= 0.65)'!$F$8:$F$33</c:f>
              <c:numCache>
                <c:formatCode>General</c:formatCode>
                <c:ptCount val="26"/>
                <c:pt idx="0">
                  <c:v>1</c:v>
                </c:pt>
                <c:pt idx="1">
                  <c:v>0.98939999999999995</c:v>
                </c:pt>
                <c:pt idx="2">
                  <c:v>0.98199999999999998</c:v>
                </c:pt>
                <c:pt idx="3">
                  <c:v>0.97599999999999998</c:v>
                </c:pt>
                <c:pt idx="4">
                  <c:v>0.96879999999999999</c:v>
                </c:pt>
                <c:pt idx="5">
                  <c:v>0.96299999999999997</c:v>
                </c:pt>
                <c:pt idx="6">
                  <c:v>0.95499999999999996</c:v>
                </c:pt>
                <c:pt idx="7">
                  <c:v>0.94879999999999998</c:v>
                </c:pt>
                <c:pt idx="8">
                  <c:v>0.94240000000000002</c:v>
                </c:pt>
                <c:pt idx="9">
                  <c:v>0.93779999999999997</c:v>
                </c:pt>
                <c:pt idx="10">
                  <c:v>0.93099999999999994</c:v>
                </c:pt>
                <c:pt idx="11">
                  <c:v>0.92500000000000004</c:v>
                </c:pt>
                <c:pt idx="12">
                  <c:v>0.9204</c:v>
                </c:pt>
                <c:pt idx="13">
                  <c:v>0.91460000000000008</c:v>
                </c:pt>
                <c:pt idx="14">
                  <c:v>0.90739999999999998</c:v>
                </c:pt>
                <c:pt idx="15">
                  <c:v>0.90160000000000007</c:v>
                </c:pt>
                <c:pt idx="16">
                  <c:v>0.89419999999999999</c:v>
                </c:pt>
                <c:pt idx="17">
                  <c:v>0.88860000000000006</c:v>
                </c:pt>
                <c:pt idx="18">
                  <c:v>0.88419999999999999</c:v>
                </c:pt>
                <c:pt idx="19">
                  <c:v>0.87880000000000003</c:v>
                </c:pt>
                <c:pt idx="20">
                  <c:v>0.872</c:v>
                </c:pt>
                <c:pt idx="21">
                  <c:v>0.86539999999999995</c:v>
                </c:pt>
                <c:pt idx="22">
                  <c:v>0.85919999999999996</c:v>
                </c:pt>
                <c:pt idx="23">
                  <c:v>0.8538</c:v>
                </c:pt>
                <c:pt idx="24">
                  <c:v>0.84919999999999995</c:v>
                </c:pt>
                <c:pt idx="25">
                  <c:v>0.84499999999999997</c:v>
                </c:pt>
              </c:numCache>
            </c:numRef>
          </c:val>
        </c:ser>
        <c:ser>
          <c:idx val="4"/>
          <c:order val="4"/>
          <c:tx>
            <c:v>T = 120</c:v>
          </c:tx>
          <c:spPr>
            <a:ln w="12700">
              <a:solidFill>
                <a:srgbClr val="800080"/>
              </a:solidFill>
              <a:prstDash val="solid"/>
            </a:ln>
          </c:spPr>
          <c:marker>
            <c:symbol val="star"/>
            <c:size val="5"/>
            <c:spPr>
              <a:noFill/>
              <a:ln>
                <a:solidFill>
                  <a:srgbClr val="800080"/>
                </a:solidFill>
                <a:prstDash val="solid"/>
              </a:ln>
            </c:spPr>
          </c:marker>
          <c:trendline>
            <c:spPr>
              <a:ln w="25400">
                <a:solidFill>
                  <a:srgbClr val="000000"/>
                </a:solidFill>
                <a:prstDash val="solid"/>
              </a:ln>
            </c:spPr>
            <c:trendlineType val="poly"/>
            <c:order val="3"/>
          </c:trendline>
          <c:cat>
            <c:numRef>
              <c:f>'DATA - MW = 18.85 (Sp Gr= 0.65)'!$A$8:$A$33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18.85 (Sp Gr= 0.65)'!$H$8:$H$33</c:f>
              <c:numCache>
                <c:formatCode>General</c:formatCode>
                <c:ptCount val="26"/>
                <c:pt idx="0">
                  <c:v>1</c:v>
                </c:pt>
                <c:pt idx="1">
                  <c:v>0.98860000000000003</c:v>
                </c:pt>
                <c:pt idx="2">
                  <c:v>0.98</c:v>
                </c:pt>
                <c:pt idx="3">
                  <c:v>0.97399999999999998</c:v>
                </c:pt>
                <c:pt idx="4">
                  <c:v>0.96619999999999995</c:v>
                </c:pt>
                <c:pt idx="5">
                  <c:v>0.96</c:v>
                </c:pt>
                <c:pt idx="6">
                  <c:v>0.95199999999999996</c:v>
                </c:pt>
                <c:pt idx="7">
                  <c:v>0.94519999999999993</c:v>
                </c:pt>
                <c:pt idx="8">
                  <c:v>0.93859999999999999</c:v>
                </c:pt>
                <c:pt idx="9">
                  <c:v>0.93420000000000003</c:v>
                </c:pt>
                <c:pt idx="10">
                  <c:v>0.92700000000000005</c:v>
                </c:pt>
                <c:pt idx="11">
                  <c:v>0.92</c:v>
                </c:pt>
                <c:pt idx="12">
                  <c:v>0.91460000000000008</c:v>
                </c:pt>
                <c:pt idx="13">
                  <c:v>0.90839999999999999</c:v>
                </c:pt>
                <c:pt idx="14">
                  <c:v>0.90060000000000007</c:v>
                </c:pt>
                <c:pt idx="15">
                  <c:v>0.89439999999999997</c:v>
                </c:pt>
                <c:pt idx="16">
                  <c:v>0.88680000000000003</c:v>
                </c:pt>
                <c:pt idx="17">
                  <c:v>0.88039999999999996</c:v>
                </c:pt>
                <c:pt idx="18">
                  <c:v>0.87580000000000002</c:v>
                </c:pt>
                <c:pt idx="19">
                  <c:v>0.87019999999999997</c:v>
                </c:pt>
                <c:pt idx="20">
                  <c:v>0.86299999999999999</c:v>
                </c:pt>
                <c:pt idx="21">
                  <c:v>0.85560000000000003</c:v>
                </c:pt>
                <c:pt idx="22">
                  <c:v>0.8488</c:v>
                </c:pt>
                <c:pt idx="23">
                  <c:v>0.84319999999999995</c:v>
                </c:pt>
                <c:pt idx="24">
                  <c:v>0.83879999999999999</c:v>
                </c:pt>
                <c:pt idx="25">
                  <c:v>0.83400000000000007</c:v>
                </c:pt>
              </c:numCache>
            </c:numRef>
          </c:val>
        </c:ser>
        <c:ser>
          <c:idx val="5"/>
          <c:order val="5"/>
          <c:tx>
            <c:v>T = 115</c:v>
          </c:tx>
          <c:spPr>
            <a:ln w="12700">
              <a:solidFill>
                <a:srgbClr val="800000"/>
              </a:solidFill>
              <a:prstDash val="solid"/>
            </a:ln>
          </c:spPr>
          <c:marker>
            <c:symbol val="circle"/>
            <c:size val="5"/>
            <c:spPr>
              <a:solidFill>
                <a:srgbClr val="800000"/>
              </a:solidFill>
              <a:ln>
                <a:solidFill>
                  <a:srgbClr val="800000"/>
                </a:solidFill>
                <a:prstDash val="solid"/>
              </a:ln>
            </c:spPr>
          </c:marker>
          <c:trendline>
            <c:spPr>
              <a:ln w="25400">
                <a:solidFill>
                  <a:srgbClr val="000000"/>
                </a:solidFill>
                <a:prstDash val="solid"/>
              </a:ln>
            </c:spPr>
            <c:trendlineType val="poly"/>
            <c:order val="3"/>
          </c:trendline>
          <c:cat>
            <c:numRef>
              <c:f>'DATA - MW = 18.85 (Sp Gr= 0.65)'!$A$8:$A$33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18.85 (Sp Gr= 0.65)'!$I$8:$I$33</c:f>
              <c:numCache>
                <c:formatCode>General</c:formatCode>
                <c:ptCount val="26"/>
                <c:pt idx="0">
                  <c:v>1</c:v>
                </c:pt>
                <c:pt idx="1">
                  <c:v>0.98819999999999997</c:v>
                </c:pt>
                <c:pt idx="2">
                  <c:v>0.97899999999999998</c:v>
                </c:pt>
                <c:pt idx="3">
                  <c:v>0.97299999999999998</c:v>
                </c:pt>
                <c:pt idx="4">
                  <c:v>0.96489999999999998</c:v>
                </c:pt>
                <c:pt idx="5">
                  <c:v>0.95849999999999991</c:v>
                </c:pt>
                <c:pt idx="6">
                  <c:v>0.9504999999999999</c:v>
                </c:pt>
                <c:pt idx="7">
                  <c:v>0.94339999999999991</c:v>
                </c:pt>
                <c:pt idx="8">
                  <c:v>0.93669999999999998</c:v>
                </c:pt>
                <c:pt idx="9">
                  <c:v>0.93240000000000001</c:v>
                </c:pt>
                <c:pt idx="10">
                  <c:v>0.92500000000000004</c:v>
                </c:pt>
                <c:pt idx="11">
                  <c:v>0.91749999999999998</c:v>
                </c:pt>
                <c:pt idx="12">
                  <c:v>0.91170000000000007</c:v>
                </c:pt>
                <c:pt idx="13">
                  <c:v>0.90529999999999999</c:v>
                </c:pt>
                <c:pt idx="14">
                  <c:v>0.8972</c:v>
                </c:pt>
                <c:pt idx="15">
                  <c:v>0.89080000000000004</c:v>
                </c:pt>
                <c:pt idx="16">
                  <c:v>0.8831</c:v>
                </c:pt>
                <c:pt idx="17">
                  <c:v>0.87629999999999997</c:v>
                </c:pt>
                <c:pt idx="18">
                  <c:v>0.87160000000000004</c:v>
                </c:pt>
                <c:pt idx="19">
                  <c:v>0.8659</c:v>
                </c:pt>
                <c:pt idx="20">
                  <c:v>0.85850000000000004</c:v>
                </c:pt>
                <c:pt idx="21">
                  <c:v>0.85070000000000001</c:v>
                </c:pt>
                <c:pt idx="22">
                  <c:v>0.84360000000000002</c:v>
                </c:pt>
                <c:pt idx="23">
                  <c:v>0.83789999999999998</c:v>
                </c:pt>
                <c:pt idx="24">
                  <c:v>0.83360000000000001</c:v>
                </c:pt>
                <c:pt idx="25">
                  <c:v>0.82850000000000001</c:v>
                </c:pt>
              </c:numCache>
            </c:numRef>
          </c:val>
        </c:ser>
        <c:ser>
          <c:idx val="6"/>
          <c:order val="6"/>
          <c:tx>
            <c:v>T = 110</c:v>
          </c:tx>
          <c:spPr>
            <a:ln w="12700">
              <a:solidFill>
                <a:srgbClr val="008080"/>
              </a:solidFill>
              <a:prstDash val="solid"/>
            </a:ln>
          </c:spPr>
          <c:marker>
            <c:symbol val="plus"/>
            <c:size val="5"/>
            <c:spPr>
              <a:noFill/>
              <a:ln>
                <a:solidFill>
                  <a:srgbClr val="008080"/>
                </a:solidFill>
                <a:prstDash val="solid"/>
              </a:ln>
            </c:spPr>
          </c:marker>
          <c:trendline>
            <c:spPr>
              <a:ln w="25400">
                <a:solidFill>
                  <a:srgbClr val="000000"/>
                </a:solidFill>
                <a:prstDash val="solid"/>
              </a:ln>
            </c:spPr>
            <c:trendlineType val="poly"/>
            <c:order val="3"/>
          </c:trendline>
          <c:cat>
            <c:numRef>
              <c:f>'DATA - MW = 18.85 (Sp Gr= 0.65)'!$A$8:$A$33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18.85 (Sp Gr= 0.65)'!$J$8:$J$33</c:f>
              <c:numCache>
                <c:formatCode>General</c:formatCode>
                <c:ptCount val="26"/>
                <c:pt idx="0">
                  <c:v>1</c:v>
                </c:pt>
                <c:pt idx="1">
                  <c:v>0.98780000000000001</c:v>
                </c:pt>
                <c:pt idx="2">
                  <c:v>0.97799999999999998</c:v>
                </c:pt>
                <c:pt idx="3">
                  <c:v>0.97199999999999998</c:v>
                </c:pt>
                <c:pt idx="4">
                  <c:v>0.96360000000000001</c:v>
                </c:pt>
                <c:pt idx="5">
                  <c:v>0.95699999999999996</c:v>
                </c:pt>
                <c:pt idx="6">
                  <c:v>0.94899999999999995</c:v>
                </c:pt>
                <c:pt idx="7">
                  <c:v>0.94159999999999999</c:v>
                </c:pt>
                <c:pt idx="8">
                  <c:v>0.93480000000000008</c:v>
                </c:pt>
                <c:pt idx="9">
                  <c:v>0.93059999999999998</c:v>
                </c:pt>
                <c:pt idx="10">
                  <c:v>0.92300000000000004</c:v>
                </c:pt>
                <c:pt idx="11">
                  <c:v>0.91500000000000004</c:v>
                </c:pt>
                <c:pt idx="12">
                  <c:v>0.90880000000000005</c:v>
                </c:pt>
                <c:pt idx="13">
                  <c:v>0.9022</c:v>
                </c:pt>
                <c:pt idx="14">
                  <c:v>0.89380000000000004</c:v>
                </c:pt>
                <c:pt idx="15">
                  <c:v>0.88719999999999999</c:v>
                </c:pt>
                <c:pt idx="16">
                  <c:v>0.87939999999999996</c:v>
                </c:pt>
                <c:pt idx="17">
                  <c:v>0.87219999999999998</c:v>
                </c:pt>
                <c:pt idx="18">
                  <c:v>0.86739999999999995</c:v>
                </c:pt>
                <c:pt idx="19">
                  <c:v>0.86160000000000003</c:v>
                </c:pt>
                <c:pt idx="20">
                  <c:v>0.85399999999999998</c:v>
                </c:pt>
                <c:pt idx="21">
                  <c:v>0.8458</c:v>
                </c:pt>
                <c:pt idx="22">
                  <c:v>0.83839999999999992</c:v>
                </c:pt>
                <c:pt idx="23">
                  <c:v>0.83260000000000001</c:v>
                </c:pt>
                <c:pt idx="24">
                  <c:v>0.82839999999999991</c:v>
                </c:pt>
                <c:pt idx="25">
                  <c:v>0.82300000000000006</c:v>
                </c:pt>
              </c:numCache>
            </c:numRef>
          </c:val>
        </c:ser>
        <c:ser>
          <c:idx val="7"/>
          <c:order val="7"/>
          <c:tx>
            <c:v>T = 105</c:v>
          </c:tx>
          <c:spPr>
            <a:ln w="12700">
              <a:solidFill>
                <a:srgbClr val="0000FF"/>
              </a:solidFill>
              <a:prstDash val="solid"/>
            </a:ln>
          </c:spPr>
          <c:marker>
            <c:symbol val="dot"/>
            <c:size val="5"/>
            <c:spPr>
              <a:noFill/>
              <a:ln>
                <a:solidFill>
                  <a:srgbClr val="0000FF"/>
                </a:solidFill>
                <a:prstDash val="solid"/>
              </a:ln>
            </c:spPr>
          </c:marker>
          <c:trendline>
            <c:spPr>
              <a:ln w="25400">
                <a:solidFill>
                  <a:srgbClr val="000000"/>
                </a:solidFill>
                <a:prstDash val="solid"/>
              </a:ln>
            </c:spPr>
            <c:trendlineType val="poly"/>
            <c:order val="3"/>
          </c:trendline>
          <c:cat>
            <c:numRef>
              <c:f>'DATA - MW = 18.85 (Sp Gr= 0.65)'!$A$8:$A$33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18.85 (Sp Gr= 0.65)'!$K$8:$K$33</c:f>
              <c:numCache>
                <c:formatCode>General</c:formatCode>
                <c:ptCount val="26"/>
                <c:pt idx="0">
                  <c:v>1</c:v>
                </c:pt>
                <c:pt idx="1">
                  <c:v>0.98739999999999994</c:v>
                </c:pt>
                <c:pt idx="2">
                  <c:v>0.97699999999999998</c:v>
                </c:pt>
                <c:pt idx="3">
                  <c:v>0.97099999999999997</c:v>
                </c:pt>
                <c:pt idx="4">
                  <c:v>0.96229999999999993</c:v>
                </c:pt>
                <c:pt idx="5">
                  <c:v>0.95550000000000002</c:v>
                </c:pt>
                <c:pt idx="6">
                  <c:v>0.94750000000000001</c:v>
                </c:pt>
                <c:pt idx="7">
                  <c:v>0.93979999999999997</c:v>
                </c:pt>
                <c:pt idx="8">
                  <c:v>0.93290000000000006</c:v>
                </c:pt>
                <c:pt idx="9">
                  <c:v>0.92880000000000007</c:v>
                </c:pt>
                <c:pt idx="10">
                  <c:v>0.92100000000000004</c:v>
                </c:pt>
                <c:pt idx="11">
                  <c:v>0.91250000000000009</c:v>
                </c:pt>
                <c:pt idx="12">
                  <c:v>0.90590000000000004</c:v>
                </c:pt>
                <c:pt idx="13">
                  <c:v>0.89910000000000001</c:v>
                </c:pt>
                <c:pt idx="14">
                  <c:v>0.89039999999999997</c:v>
                </c:pt>
                <c:pt idx="15">
                  <c:v>0.88360000000000005</c:v>
                </c:pt>
                <c:pt idx="16">
                  <c:v>0.87570000000000003</c:v>
                </c:pt>
                <c:pt idx="17">
                  <c:v>0.86809999999999998</c:v>
                </c:pt>
                <c:pt idx="18">
                  <c:v>0.86319999999999997</c:v>
                </c:pt>
                <c:pt idx="19">
                  <c:v>0.85729999999999995</c:v>
                </c:pt>
                <c:pt idx="20">
                  <c:v>0.84949999999999992</c:v>
                </c:pt>
                <c:pt idx="21">
                  <c:v>0.84089999999999998</c:v>
                </c:pt>
                <c:pt idx="22">
                  <c:v>0.83319999999999994</c:v>
                </c:pt>
                <c:pt idx="23">
                  <c:v>0.82729999999999992</c:v>
                </c:pt>
                <c:pt idx="24">
                  <c:v>0.82319999999999993</c:v>
                </c:pt>
                <c:pt idx="25">
                  <c:v>0.8175</c:v>
                </c:pt>
              </c:numCache>
            </c:numRef>
          </c:val>
        </c:ser>
        <c:ser>
          <c:idx val="8"/>
          <c:order val="8"/>
          <c:tx>
            <c:v>T = 95</c:v>
          </c:tx>
          <c:spPr>
            <a:ln w="12700">
              <a:solidFill>
                <a:srgbClr val="00CCFF"/>
              </a:solidFill>
              <a:prstDash val="solid"/>
            </a:ln>
          </c:spPr>
          <c:marker>
            <c:symbol val="dash"/>
            <c:size val="5"/>
            <c:spPr>
              <a:noFill/>
              <a:ln>
                <a:solidFill>
                  <a:srgbClr val="00CCFF"/>
                </a:solidFill>
                <a:prstDash val="solid"/>
              </a:ln>
            </c:spPr>
          </c:marker>
          <c:trendline>
            <c:spPr>
              <a:ln w="25400">
                <a:solidFill>
                  <a:srgbClr val="000000"/>
                </a:solidFill>
                <a:prstDash val="solid"/>
              </a:ln>
            </c:spPr>
            <c:trendlineType val="poly"/>
            <c:order val="3"/>
          </c:trendline>
          <c:cat>
            <c:numRef>
              <c:f>'DATA - MW = 18.85 (Sp Gr= 0.65)'!$A$8:$A$33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18.85 (Sp Gr= 0.65)'!$M$8:$M$33</c:f>
              <c:numCache>
                <c:formatCode>General</c:formatCode>
                <c:ptCount val="26"/>
                <c:pt idx="0">
                  <c:v>1</c:v>
                </c:pt>
                <c:pt idx="1">
                  <c:v>0.98660000000000003</c:v>
                </c:pt>
                <c:pt idx="2">
                  <c:v>0.9758</c:v>
                </c:pt>
                <c:pt idx="3">
                  <c:v>0.9698</c:v>
                </c:pt>
                <c:pt idx="4">
                  <c:v>0.96060000000000001</c:v>
                </c:pt>
                <c:pt idx="5">
                  <c:v>0.95319999999999994</c:v>
                </c:pt>
                <c:pt idx="6">
                  <c:v>0.94479999999999997</c:v>
                </c:pt>
                <c:pt idx="7">
                  <c:v>0.93640000000000001</c:v>
                </c:pt>
                <c:pt idx="8">
                  <c:v>0.92960000000000009</c:v>
                </c:pt>
                <c:pt idx="9">
                  <c:v>0.92420000000000002</c:v>
                </c:pt>
                <c:pt idx="10">
                  <c:v>0.91660000000000008</c:v>
                </c:pt>
                <c:pt idx="11">
                  <c:v>0.90720000000000001</c:v>
                </c:pt>
                <c:pt idx="12">
                  <c:v>0.89960000000000007</c:v>
                </c:pt>
                <c:pt idx="13">
                  <c:v>0.89260000000000006</c:v>
                </c:pt>
                <c:pt idx="14">
                  <c:v>0.88319999999999999</c:v>
                </c:pt>
                <c:pt idx="15">
                  <c:v>0.876</c:v>
                </c:pt>
                <c:pt idx="16">
                  <c:v>0.86760000000000004</c:v>
                </c:pt>
                <c:pt idx="17">
                  <c:v>0.85899999999999999</c:v>
                </c:pt>
                <c:pt idx="18">
                  <c:v>0.85319999999999996</c:v>
                </c:pt>
                <c:pt idx="19">
                  <c:v>0.84639999999999993</c:v>
                </c:pt>
                <c:pt idx="20">
                  <c:v>0.83879999999999999</c:v>
                </c:pt>
                <c:pt idx="21">
                  <c:v>0.82979999999999998</c:v>
                </c:pt>
                <c:pt idx="22">
                  <c:v>0.8216</c:v>
                </c:pt>
                <c:pt idx="23">
                  <c:v>0.81519999999999992</c:v>
                </c:pt>
                <c:pt idx="24">
                  <c:v>0.81040000000000001</c:v>
                </c:pt>
                <c:pt idx="25">
                  <c:v>0.80360000000000009</c:v>
                </c:pt>
              </c:numCache>
            </c:numRef>
          </c:val>
        </c:ser>
        <c:ser>
          <c:idx val="9"/>
          <c:order val="9"/>
          <c:tx>
            <c:v>T = 90</c:v>
          </c:tx>
          <c:spPr>
            <a:ln w="12700">
              <a:solidFill>
                <a:srgbClr val="CCFFFF"/>
              </a:solidFill>
              <a:prstDash val="solid"/>
            </a:ln>
          </c:spPr>
          <c:marker>
            <c:symbol val="diamond"/>
            <c:size val="5"/>
            <c:spPr>
              <a:solidFill>
                <a:srgbClr val="CCFFFF"/>
              </a:solidFill>
              <a:ln>
                <a:solidFill>
                  <a:srgbClr val="CCFFFF"/>
                </a:solidFill>
                <a:prstDash val="solid"/>
              </a:ln>
            </c:spPr>
          </c:marker>
          <c:trendline>
            <c:spPr>
              <a:ln w="25400">
                <a:solidFill>
                  <a:srgbClr val="000000"/>
                </a:solidFill>
                <a:prstDash val="solid"/>
              </a:ln>
            </c:spPr>
            <c:trendlineType val="poly"/>
            <c:order val="3"/>
          </c:trendline>
          <c:cat>
            <c:numRef>
              <c:f>'DATA - MW = 18.85 (Sp Gr= 0.65)'!$A$8:$A$33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18.85 (Sp Gr= 0.65)'!$N$8:$N$33</c:f>
              <c:numCache>
                <c:formatCode>General</c:formatCode>
                <c:ptCount val="26"/>
                <c:pt idx="0">
                  <c:v>1</c:v>
                </c:pt>
                <c:pt idx="1">
                  <c:v>0.98619999999999997</c:v>
                </c:pt>
                <c:pt idx="2">
                  <c:v>0.97560000000000002</c:v>
                </c:pt>
                <c:pt idx="3">
                  <c:v>0.96960000000000002</c:v>
                </c:pt>
                <c:pt idx="4">
                  <c:v>0.96019999999999994</c:v>
                </c:pt>
                <c:pt idx="5">
                  <c:v>0.95239999999999991</c:v>
                </c:pt>
                <c:pt idx="6">
                  <c:v>0.94359999999999999</c:v>
                </c:pt>
                <c:pt idx="7">
                  <c:v>0.93479999999999996</c:v>
                </c:pt>
                <c:pt idx="8">
                  <c:v>0.92820000000000003</c:v>
                </c:pt>
                <c:pt idx="9">
                  <c:v>0.9214</c:v>
                </c:pt>
                <c:pt idx="10">
                  <c:v>0.91420000000000001</c:v>
                </c:pt>
                <c:pt idx="11">
                  <c:v>0.90439999999999998</c:v>
                </c:pt>
                <c:pt idx="12">
                  <c:v>0.8962</c:v>
                </c:pt>
                <c:pt idx="13">
                  <c:v>0.88919999999999999</c:v>
                </c:pt>
                <c:pt idx="14">
                  <c:v>0.87939999999999996</c:v>
                </c:pt>
                <c:pt idx="15">
                  <c:v>0.872</c:v>
                </c:pt>
                <c:pt idx="16">
                  <c:v>0.86319999999999997</c:v>
                </c:pt>
                <c:pt idx="17">
                  <c:v>0.85399999999999998</c:v>
                </c:pt>
                <c:pt idx="18">
                  <c:v>0.84739999999999993</c:v>
                </c:pt>
                <c:pt idx="19">
                  <c:v>0.83979999999999999</c:v>
                </c:pt>
                <c:pt idx="20">
                  <c:v>0.83260000000000001</c:v>
                </c:pt>
                <c:pt idx="21">
                  <c:v>0.8236</c:v>
                </c:pt>
                <c:pt idx="22">
                  <c:v>0.81520000000000004</c:v>
                </c:pt>
                <c:pt idx="23">
                  <c:v>0.80840000000000001</c:v>
                </c:pt>
                <c:pt idx="24">
                  <c:v>0.80279999999999996</c:v>
                </c:pt>
                <c:pt idx="25">
                  <c:v>0.79520000000000002</c:v>
                </c:pt>
              </c:numCache>
            </c:numRef>
          </c:val>
        </c:ser>
        <c:ser>
          <c:idx val="10"/>
          <c:order val="10"/>
          <c:tx>
            <c:v>T = 85</c:v>
          </c:tx>
          <c:spPr>
            <a:ln w="12700">
              <a:solidFill>
                <a:srgbClr val="CCFFCC"/>
              </a:solidFill>
              <a:prstDash val="solid"/>
            </a:ln>
          </c:spPr>
          <c:marker>
            <c:symbol val="square"/>
            <c:size val="5"/>
            <c:spPr>
              <a:solidFill>
                <a:srgbClr val="CCFFCC"/>
              </a:solidFill>
              <a:ln>
                <a:solidFill>
                  <a:srgbClr val="CCFFCC"/>
                </a:solidFill>
                <a:prstDash val="solid"/>
              </a:ln>
            </c:spPr>
          </c:marker>
          <c:trendline>
            <c:spPr>
              <a:ln w="25400">
                <a:solidFill>
                  <a:srgbClr val="000000"/>
                </a:solidFill>
                <a:prstDash val="solid"/>
              </a:ln>
            </c:spPr>
            <c:trendlineType val="poly"/>
            <c:order val="3"/>
          </c:trendline>
          <c:cat>
            <c:numRef>
              <c:f>'DATA - MW = 18.85 (Sp Gr= 0.65)'!$A$8:$A$33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18.85 (Sp Gr= 0.65)'!$O$8:$O$33</c:f>
              <c:numCache>
                <c:formatCode>General</c:formatCode>
                <c:ptCount val="26"/>
                <c:pt idx="0">
                  <c:v>1</c:v>
                </c:pt>
                <c:pt idx="1">
                  <c:v>0.98580000000000001</c:v>
                </c:pt>
                <c:pt idx="2">
                  <c:v>0.97539999999999993</c:v>
                </c:pt>
                <c:pt idx="3">
                  <c:v>0.96939999999999993</c:v>
                </c:pt>
                <c:pt idx="4">
                  <c:v>0.95979999999999999</c:v>
                </c:pt>
                <c:pt idx="5">
                  <c:v>0.9516</c:v>
                </c:pt>
                <c:pt idx="6">
                  <c:v>0.9423999999999999</c:v>
                </c:pt>
                <c:pt idx="7">
                  <c:v>0.93320000000000003</c:v>
                </c:pt>
                <c:pt idx="8">
                  <c:v>0.92680000000000007</c:v>
                </c:pt>
                <c:pt idx="9">
                  <c:v>0.91860000000000008</c:v>
                </c:pt>
                <c:pt idx="10">
                  <c:v>0.91180000000000005</c:v>
                </c:pt>
                <c:pt idx="11">
                  <c:v>0.90160000000000007</c:v>
                </c:pt>
                <c:pt idx="12">
                  <c:v>0.89280000000000004</c:v>
                </c:pt>
                <c:pt idx="13">
                  <c:v>0.88580000000000003</c:v>
                </c:pt>
                <c:pt idx="14">
                  <c:v>0.87560000000000004</c:v>
                </c:pt>
                <c:pt idx="15">
                  <c:v>0.86799999999999999</c:v>
                </c:pt>
                <c:pt idx="16">
                  <c:v>0.85880000000000001</c:v>
                </c:pt>
                <c:pt idx="17">
                  <c:v>0.84899999999999998</c:v>
                </c:pt>
                <c:pt idx="18">
                  <c:v>0.84160000000000001</c:v>
                </c:pt>
                <c:pt idx="19">
                  <c:v>0.83319999999999994</c:v>
                </c:pt>
                <c:pt idx="20">
                  <c:v>0.82639999999999991</c:v>
                </c:pt>
                <c:pt idx="21">
                  <c:v>0.81740000000000002</c:v>
                </c:pt>
                <c:pt idx="22">
                  <c:v>0.80879999999999996</c:v>
                </c:pt>
                <c:pt idx="23">
                  <c:v>0.80159999999999998</c:v>
                </c:pt>
                <c:pt idx="24">
                  <c:v>0.79520000000000002</c:v>
                </c:pt>
                <c:pt idx="25">
                  <c:v>0.78680000000000005</c:v>
                </c:pt>
              </c:numCache>
            </c:numRef>
          </c:val>
        </c:ser>
        <c:ser>
          <c:idx val="11"/>
          <c:order val="11"/>
          <c:tx>
            <c:v>T = 80</c:v>
          </c:tx>
          <c:spPr>
            <a:ln w="12700">
              <a:solidFill>
                <a:srgbClr val="FFFF99"/>
              </a:solidFill>
              <a:prstDash val="solid"/>
            </a:ln>
          </c:spPr>
          <c:marker>
            <c:symbol val="triangle"/>
            <c:size val="5"/>
            <c:spPr>
              <a:solidFill>
                <a:srgbClr val="FFFF99"/>
              </a:solidFill>
              <a:ln>
                <a:solidFill>
                  <a:srgbClr val="FFFF99"/>
                </a:solidFill>
                <a:prstDash val="solid"/>
              </a:ln>
            </c:spPr>
          </c:marker>
          <c:trendline>
            <c:spPr>
              <a:ln w="25400">
                <a:solidFill>
                  <a:srgbClr val="000000"/>
                </a:solidFill>
                <a:prstDash val="solid"/>
              </a:ln>
            </c:spPr>
            <c:trendlineType val="poly"/>
            <c:order val="3"/>
          </c:trendline>
          <c:cat>
            <c:numRef>
              <c:f>'DATA - MW = 18.85 (Sp Gr= 0.65)'!$A$8:$A$33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18.85 (Sp Gr= 0.65)'!$P$8:$P$33</c:f>
              <c:numCache>
                <c:formatCode>General</c:formatCode>
                <c:ptCount val="26"/>
                <c:pt idx="0">
                  <c:v>1</c:v>
                </c:pt>
                <c:pt idx="1">
                  <c:v>0.98539999999999994</c:v>
                </c:pt>
                <c:pt idx="2">
                  <c:v>0.97519999999999996</c:v>
                </c:pt>
                <c:pt idx="3">
                  <c:v>0.96919999999999995</c:v>
                </c:pt>
                <c:pt idx="4">
                  <c:v>0.95939999999999992</c:v>
                </c:pt>
                <c:pt idx="5">
                  <c:v>0.95079999999999998</c:v>
                </c:pt>
                <c:pt idx="6">
                  <c:v>0.94119999999999993</c:v>
                </c:pt>
                <c:pt idx="7">
                  <c:v>0.93159999999999998</c:v>
                </c:pt>
                <c:pt idx="8">
                  <c:v>0.9254</c:v>
                </c:pt>
                <c:pt idx="9">
                  <c:v>0.91580000000000006</c:v>
                </c:pt>
                <c:pt idx="10">
                  <c:v>0.90939999999999999</c:v>
                </c:pt>
                <c:pt idx="11">
                  <c:v>0.89880000000000004</c:v>
                </c:pt>
                <c:pt idx="12">
                  <c:v>0.88939999999999997</c:v>
                </c:pt>
                <c:pt idx="13">
                  <c:v>0.88239999999999996</c:v>
                </c:pt>
                <c:pt idx="14">
                  <c:v>0.87180000000000002</c:v>
                </c:pt>
                <c:pt idx="15">
                  <c:v>0.86399999999999999</c:v>
                </c:pt>
                <c:pt idx="16">
                  <c:v>0.85439999999999994</c:v>
                </c:pt>
                <c:pt idx="17">
                  <c:v>0.84399999999999997</c:v>
                </c:pt>
                <c:pt idx="18">
                  <c:v>0.83579999999999999</c:v>
                </c:pt>
                <c:pt idx="19">
                  <c:v>0.8266</c:v>
                </c:pt>
                <c:pt idx="20">
                  <c:v>0.82019999999999993</c:v>
                </c:pt>
                <c:pt idx="21">
                  <c:v>0.81120000000000003</c:v>
                </c:pt>
                <c:pt idx="22">
                  <c:v>0.8024</c:v>
                </c:pt>
                <c:pt idx="23">
                  <c:v>0.79480000000000006</c:v>
                </c:pt>
                <c:pt idx="24">
                  <c:v>0.78759999999999997</c:v>
                </c:pt>
                <c:pt idx="25">
                  <c:v>0.77839999999999998</c:v>
                </c:pt>
              </c:numCache>
            </c:numRef>
          </c:val>
        </c:ser>
        <c:ser>
          <c:idx val="12"/>
          <c:order val="12"/>
          <c:tx>
            <c:v>T = 70</c:v>
          </c:tx>
          <c:spPr>
            <a:ln w="12700">
              <a:solidFill>
                <a:srgbClr val="99CCFF"/>
              </a:solidFill>
              <a:prstDash val="solid"/>
            </a:ln>
          </c:spPr>
          <c:marker>
            <c:symbol val="x"/>
            <c:size val="5"/>
            <c:spPr>
              <a:noFill/>
              <a:ln>
                <a:solidFill>
                  <a:srgbClr val="99CCFF"/>
                </a:solidFill>
                <a:prstDash val="solid"/>
              </a:ln>
            </c:spPr>
          </c:marker>
          <c:trendline>
            <c:spPr>
              <a:ln w="25400">
                <a:solidFill>
                  <a:srgbClr val="000000"/>
                </a:solidFill>
                <a:prstDash val="solid"/>
              </a:ln>
            </c:spPr>
            <c:trendlineType val="poly"/>
            <c:order val="3"/>
          </c:trendline>
          <c:cat>
            <c:numRef>
              <c:f>'DATA - MW = 18.85 (Sp Gr= 0.65)'!$A$8:$A$33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18.85 (Sp Gr= 0.65)'!$R$8:$R$33</c:f>
              <c:numCache>
                <c:formatCode>General</c:formatCode>
                <c:ptCount val="26"/>
                <c:pt idx="0">
                  <c:v>1</c:v>
                </c:pt>
                <c:pt idx="1">
                  <c:v>0.98439999999999994</c:v>
                </c:pt>
                <c:pt idx="2">
                  <c:v>0.97499999999999998</c:v>
                </c:pt>
                <c:pt idx="3">
                  <c:v>0.96839999999999993</c:v>
                </c:pt>
                <c:pt idx="4">
                  <c:v>0.95839999999999992</c:v>
                </c:pt>
                <c:pt idx="5">
                  <c:v>0.94899999999999995</c:v>
                </c:pt>
                <c:pt idx="6">
                  <c:v>0.93899999999999995</c:v>
                </c:pt>
                <c:pt idx="7">
                  <c:v>0.92900000000000005</c:v>
                </c:pt>
                <c:pt idx="8">
                  <c:v>0.92200000000000004</c:v>
                </c:pt>
                <c:pt idx="9">
                  <c:v>0.91139999999999999</c:v>
                </c:pt>
                <c:pt idx="10">
                  <c:v>0.90480000000000005</c:v>
                </c:pt>
                <c:pt idx="11">
                  <c:v>0.89360000000000006</c:v>
                </c:pt>
                <c:pt idx="12">
                  <c:v>0.88300000000000001</c:v>
                </c:pt>
                <c:pt idx="13">
                  <c:v>0.87580000000000002</c:v>
                </c:pt>
                <c:pt idx="14">
                  <c:v>0.86480000000000001</c:v>
                </c:pt>
                <c:pt idx="15">
                  <c:v>0.85619999999999996</c:v>
                </c:pt>
                <c:pt idx="16">
                  <c:v>0.84599999999999997</c:v>
                </c:pt>
                <c:pt idx="17">
                  <c:v>0.83460000000000001</c:v>
                </c:pt>
                <c:pt idx="18">
                  <c:v>0.82519999999999993</c:v>
                </c:pt>
                <c:pt idx="19">
                  <c:v>0.81599999999999995</c:v>
                </c:pt>
                <c:pt idx="20">
                  <c:v>0.80819999999999992</c:v>
                </c:pt>
                <c:pt idx="21">
                  <c:v>0.7984</c:v>
                </c:pt>
                <c:pt idx="22">
                  <c:v>0.78900000000000003</c:v>
                </c:pt>
                <c:pt idx="23">
                  <c:v>0.78100000000000003</c:v>
                </c:pt>
                <c:pt idx="24">
                  <c:v>0.77300000000000002</c:v>
                </c:pt>
                <c:pt idx="25">
                  <c:v>0.76319999999999999</c:v>
                </c:pt>
              </c:numCache>
            </c:numRef>
          </c:val>
        </c:ser>
        <c:ser>
          <c:idx val="13"/>
          <c:order val="13"/>
          <c:tx>
            <c:v>T = 65</c:v>
          </c:tx>
          <c:spPr>
            <a:ln w="12700">
              <a:solidFill>
                <a:srgbClr val="FF99CC"/>
              </a:solidFill>
              <a:prstDash val="solid"/>
            </a:ln>
          </c:spPr>
          <c:marker>
            <c:symbol val="star"/>
            <c:size val="5"/>
            <c:spPr>
              <a:noFill/>
              <a:ln>
                <a:solidFill>
                  <a:srgbClr val="FF99CC"/>
                </a:solidFill>
                <a:prstDash val="solid"/>
              </a:ln>
            </c:spPr>
          </c:marker>
          <c:trendline>
            <c:spPr>
              <a:ln w="25400">
                <a:solidFill>
                  <a:srgbClr val="000000"/>
                </a:solidFill>
                <a:prstDash val="solid"/>
              </a:ln>
            </c:spPr>
            <c:trendlineType val="poly"/>
            <c:order val="3"/>
          </c:trendline>
          <c:cat>
            <c:numRef>
              <c:f>'DATA - MW = 18.85 (Sp Gr= 0.65)'!$A$8:$A$33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18.85 (Sp Gr= 0.65)'!$S$8:$S$33</c:f>
              <c:numCache>
                <c:formatCode>General</c:formatCode>
                <c:ptCount val="26"/>
                <c:pt idx="0">
                  <c:v>1</c:v>
                </c:pt>
                <c:pt idx="1">
                  <c:v>0.98380000000000001</c:v>
                </c:pt>
                <c:pt idx="2">
                  <c:v>0.97499999999999998</c:v>
                </c:pt>
                <c:pt idx="3">
                  <c:v>0.96779999999999999</c:v>
                </c:pt>
                <c:pt idx="4">
                  <c:v>0.95779999999999998</c:v>
                </c:pt>
                <c:pt idx="5">
                  <c:v>0.94799999999999995</c:v>
                </c:pt>
                <c:pt idx="6">
                  <c:v>0.93799999999999994</c:v>
                </c:pt>
                <c:pt idx="7">
                  <c:v>0.92800000000000005</c:v>
                </c:pt>
                <c:pt idx="8">
                  <c:v>0.92</c:v>
                </c:pt>
                <c:pt idx="9">
                  <c:v>0.90980000000000005</c:v>
                </c:pt>
                <c:pt idx="10">
                  <c:v>0.90260000000000007</c:v>
                </c:pt>
                <c:pt idx="11">
                  <c:v>0.89119999999999999</c:v>
                </c:pt>
                <c:pt idx="12">
                  <c:v>0.88</c:v>
                </c:pt>
                <c:pt idx="13">
                  <c:v>0.87260000000000004</c:v>
                </c:pt>
                <c:pt idx="14">
                  <c:v>0.86160000000000003</c:v>
                </c:pt>
                <c:pt idx="15">
                  <c:v>0.85239999999999994</c:v>
                </c:pt>
                <c:pt idx="16">
                  <c:v>0.84199999999999997</c:v>
                </c:pt>
                <c:pt idx="17">
                  <c:v>0.83019999999999994</c:v>
                </c:pt>
                <c:pt idx="18">
                  <c:v>0.82040000000000002</c:v>
                </c:pt>
                <c:pt idx="19">
                  <c:v>0.81199999999999994</c:v>
                </c:pt>
                <c:pt idx="20">
                  <c:v>0.8024</c:v>
                </c:pt>
                <c:pt idx="21">
                  <c:v>0.79180000000000006</c:v>
                </c:pt>
                <c:pt idx="22">
                  <c:v>0.78200000000000003</c:v>
                </c:pt>
                <c:pt idx="23">
                  <c:v>0.77400000000000002</c:v>
                </c:pt>
                <c:pt idx="24">
                  <c:v>0.76600000000000001</c:v>
                </c:pt>
                <c:pt idx="25">
                  <c:v>0.75639999999999996</c:v>
                </c:pt>
              </c:numCache>
            </c:numRef>
          </c:val>
        </c:ser>
        <c:ser>
          <c:idx val="14"/>
          <c:order val="14"/>
          <c:tx>
            <c:v>T = 60</c:v>
          </c:tx>
          <c:spPr>
            <a:ln w="12700">
              <a:solidFill>
                <a:srgbClr val="CC99FF"/>
              </a:solidFill>
              <a:prstDash val="solid"/>
            </a:ln>
          </c:spPr>
          <c:marker>
            <c:symbol val="circle"/>
            <c:size val="5"/>
            <c:spPr>
              <a:solidFill>
                <a:srgbClr val="CC99FF"/>
              </a:solidFill>
              <a:ln>
                <a:solidFill>
                  <a:srgbClr val="CC99FF"/>
                </a:solidFill>
                <a:prstDash val="solid"/>
              </a:ln>
            </c:spPr>
          </c:marker>
          <c:trendline>
            <c:spPr>
              <a:ln w="25400">
                <a:solidFill>
                  <a:srgbClr val="000000"/>
                </a:solidFill>
                <a:prstDash val="solid"/>
              </a:ln>
            </c:spPr>
            <c:trendlineType val="poly"/>
            <c:order val="3"/>
          </c:trendline>
          <c:cat>
            <c:numRef>
              <c:f>'DATA - MW = 18.85 (Sp Gr= 0.65)'!$A$8:$A$33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18.85 (Sp Gr= 0.65)'!$T$8:$T$33</c:f>
              <c:numCache>
                <c:formatCode>General</c:formatCode>
                <c:ptCount val="26"/>
                <c:pt idx="0">
                  <c:v>1</c:v>
                </c:pt>
                <c:pt idx="1">
                  <c:v>0.98319999999999996</c:v>
                </c:pt>
                <c:pt idx="2">
                  <c:v>0.97499999999999998</c:v>
                </c:pt>
                <c:pt idx="3">
                  <c:v>0.96719999999999995</c:v>
                </c:pt>
                <c:pt idx="4">
                  <c:v>0.95719999999999994</c:v>
                </c:pt>
                <c:pt idx="5">
                  <c:v>0.94699999999999995</c:v>
                </c:pt>
                <c:pt idx="6">
                  <c:v>0.93700000000000006</c:v>
                </c:pt>
                <c:pt idx="7">
                  <c:v>0.92700000000000005</c:v>
                </c:pt>
                <c:pt idx="8">
                  <c:v>0.91800000000000004</c:v>
                </c:pt>
                <c:pt idx="9">
                  <c:v>0.90820000000000001</c:v>
                </c:pt>
                <c:pt idx="10">
                  <c:v>0.90039999999999998</c:v>
                </c:pt>
                <c:pt idx="11">
                  <c:v>0.88880000000000003</c:v>
                </c:pt>
                <c:pt idx="12">
                  <c:v>0.877</c:v>
                </c:pt>
                <c:pt idx="13">
                  <c:v>0.86939999999999995</c:v>
                </c:pt>
                <c:pt idx="14">
                  <c:v>0.85839999999999994</c:v>
                </c:pt>
                <c:pt idx="15">
                  <c:v>0.84860000000000002</c:v>
                </c:pt>
                <c:pt idx="16">
                  <c:v>0.83799999999999997</c:v>
                </c:pt>
                <c:pt idx="17">
                  <c:v>0.82579999999999998</c:v>
                </c:pt>
                <c:pt idx="18">
                  <c:v>0.81559999999999999</c:v>
                </c:pt>
                <c:pt idx="19">
                  <c:v>0.80800000000000005</c:v>
                </c:pt>
                <c:pt idx="20">
                  <c:v>0.79659999999999997</c:v>
                </c:pt>
                <c:pt idx="21">
                  <c:v>0.78520000000000001</c:v>
                </c:pt>
                <c:pt idx="22">
                  <c:v>0.77500000000000002</c:v>
                </c:pt>
                <c:pt idx="23">
                  <c:v>0.76700000000000002</c:v>
                </c:pt>
                <c:pt idx="24">
                  <c:v>0.75900000000000001</c:v>
                </c:pt>
                <c:pt idx="25">
                  <c:v>0.74960000000000004</c:v>
                </c:pt>
              </c:numCache>
            </c:numRef>
          </c:val>
        </c:ser>
        <c:ser>
          <c:idx val="15"/>
          <c:order val="15"/>
          <c:tx>
            <c:v>T = 55</c:v>
          </c:tx>
          <c:spPr>
            <a:ln w="12700">
              <a:solidFill>
                <a:srgbClr val="FFCC99"/>
              </a:solidFill>
              <a:prstDash val="solid"/>
            </a:ln>
          </c:spPr>
          <c:marker>
            <c:symbol val="plus"/>
            <c:size val="5"/>
            <c:spPr>
              <a:noFill/>
              <a:ln>
                <a:solidFill>
                  <a:srgbClr val="FFCC99"/>
                </a:solidFill>
                <a:prstDash val="solid"/>
              </a:ln>
            </c:spPr>
          </c:marker>
          <c:trendline>
            <c:spPr>
              <a:ln w="25400">
                <a:solidFill>
                  <a:srgbClr val="000000"/>
                </a:solidFill>
                <a:prstDash val="solid"/>
              </a:ln>
            </c:spPr>
            <c:trendlineType val="poly"/>
            <c:order val="3"/>
          </c:trendline>
          <c:cat>
            <c:numRef>
              <c:f>'DATA - MW = 18.85 (Sp Gr= 0.65)'!$A$8:$A$33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18.85 (Sp Gr= 0.65)'!$U$8:$U$33</c:f>
              <c:numCache>
                <c:formatCode>General</c:formatCode>
                <c:ptCount val="26"/>
                <c:pt idx="0">
                  <c:v>1</c:v>
                </c:pt>
                <c:pt idx="1">
                  <c:v>0.98260000000000003</c:v>
                </c:pt>
                <c:pt idx="2">
                  <c:v>0.97499999999999998</c:v>
                </c:pt>
                <c:pt idx="3">
                  <c:v>0.96660000000000001</c:v>
                </c:pt>
                <c:pt idx="4">
                  <c:v>0.95660000000000001</c:v>
                </c:pt>
                <c:pt idx="5">
                  <c:v>0.94599999999999995</c:v>
                </c:pt>
                <c:pt idx="6">
                  <c:v>0.93600000000000005</c:v>
                </c:pt>
                <c:pt idx="7">
                  <c:v>0.92600000000000005</c:v>
                </c:pt>
                <c:pt idx="8">
                  <c:v>0.91600000000000004</c:v>
                </c:pt>
                <c:pt idx="9">
                  <c:v>0.90660000000000007</c:v>
                </c:pt>
                <c:pt idx="10">
                  <c:v>0.8982</c:v>
                </c:pt>
                <c:pt idx="11">
                  <c:v>0.88639999999999997</c:v>
                </c:pt>
                <c:pt idx="12">
                  <c:v>0.874</c:v>
                </c:pt>
                <c:pt idx="13">
                  <c:v>0.86619999999999997</c:v>
                </c:pt>
                <c:pt idx="14">
                  <c:v>0.85519999999999996</c:v>
                </c:pt>
                <c:pt idx="15">
                  <c:v>0.8448</c:v>
                </c:pt>
                <c:pt idx="16">
                  <c:v>0.83399999999999996</c:v>
                </c:pt>
                <c:pt idx="17">
                  <c:v>0.82139999999999991</c:v>
                </c:pt>
                <c:pt idx="18">
                  <c:v>0.81080000000000008</c:v>
                </c:pt>
                <c:pt idx="19">
                  <c:v>0.80400000000000005</c:v>
                </c:pt>
                <c:pt idx="20">
                  <c:v>0.79080000000000006</c:v>
                </c:pt>
                <c:pt idx="21">
                  <c:v>0.77860000000000007</c:v>
                </c:pt>
                <c:pt idx="22">
                  <c:v>0.76800000000000002</c:v>
                </c:pt>
                <c:pt idx="23">
                  <c:v>0.76</c:v>
                </c:pt>
                <c:pt idx="24">
                  <c:v>0.752</c:v>
                </c:pt>
                <c:pt idx="25">
                  <c:v>0.74280000000000002</c:v>
                </c:pt>
              </c:numCache>
            </c:numRef>
          </c:val>
        </c:ser>
        <c:ser>
          <c:idx val="16"/>
          <c:order val="16"/>
          <c:tx>
            <c:v>T = 45</c:v>
          </c:tx>
          <c:spPr>
            <a:ln w="12700">
              <a:solidFill>
                <a:srgbClr val="3366FF"/>
              </a:solidFill>
              <a:prstDash val="solid"/>
            </a:ln>
          </c:spPr>
          <c:marker>
            <c:symbol val="dot"/>
            <c:size val="5"/>
            <c:spPr>
              <a:noFill/>
              <a:ln>
                <a:solidFill>
                  <a:srgbClr val="3366FF"/>
                </a:solidFill>
                <a:prstDash val="solid"/>
              </a:ln>
            </c:spPr>
          </c:marker>
          <c:trendline>
            <c:spPr>
              <a:ln w="25400">
                <a:solidFill>
                  <a:srgbClr val="000000"/>
                </a:solidFill>
                <a:prstDash val="solid"/>
              </a:ln>
            </c:spPr>
            <c:trendlineType val="poly"/>
            <c:order val="3"/>
          </c:trendline>
          <c:cat>
            <c:numRef>
              <c:f>'DATA - MW = 18.85 (Sp Gr= 0.65)'!$A$8:$A$33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18.85 (Sp Gr= 0.65)'!$W$8:$W$33</c:f>
              <c:numCache>
                <c:formatCode>General</c:formatCode>
                <c:ptCount val="26"/>
                <c:pt idx="0">
                  <c:v>1</c:v>
                </c:pt>
                <c:pt idx="1">
                  <c:v>0.98160000000000003</c:v>
                </c:pt>
                <c:pt idx="2">
                  <c:v>0.97299999999999998</c:v>
                </c:pt>
                <c:pt idx="3">
                  <c:v>0.96319999999999995</c:v>
                </c:pt>
                <c:pt idx="4">
                  <c:v>0.9526</c:v>
                </c:pt>
                <c:pt idx="5">
                  <c:v>0.94199999999999995</c:v>
                </c:pt>
                <c:pt idx="6">
                  <c:v>0.93100000000000005</c:v>
                </c:pt>
                <c:pt idx="7">
                  <c:v>0.92060000000000008</c:v>
                </c:pt>
                <c:pt idx="8">
                  <c:v>0.90900000000000003</c:v>
                </c:pt>
                <c:pt idx="9">
                  <c:v>0.8992</c:v>
                </c:pt>
                <c:pt idx="10">
                  <c:v>0.88980000000000004</c:v>
                </c:pt>
                <c:pt idx="11">
                  <c:v>0.87780000000000002</c:v>
                </c:pt>
                <c:pt idx="12">
                  <c:v>0.86399999999999999</c:v>
                </c:pt>
                <c:pt idx="13">
                  <c:v>0.8548</c:v>
                </c:pt>
                <c:pt idx="14">
                  <c:v>0.84399999999999997</c:v>
                </c:pt>
                <c:pt idx="15">
                  <c:v>0.83319999999999994</c:v>
                </c:pt>
                <c:pt idx="16">
                  <c:v>0.82179999999999997</c:v>
                </c:pt>
                <c:pt idx="17">
                  <c:v>0.80799999999999994</c:v>
                </c:pt>
                <c:pt idx="18">
                  <c:v>0.79660000000000009</c:v>
                </c:pt>
                <c:pt idx="19">
                  <c:v>0.79</c:v>
                </c:pt>
                <c:pt idx="20">
                  <c:v>0.77500000000000002</c:v>
                </c:pt>
                <c:pt idx="21">
                  <c:v>0.76160000000000005</c:v>
                </c:pt>
                <c:pt idx="22">
                  <c:v>0.75060000000000004</c:v>
                </c:pt>
                <c:pt idx="23">
                  <c:v>0.74239999999999995</c:v>
                </c:pt>
                <c:pt idx="24">
                  <c:v>0.73380000000000001</c:v>
                </c:pt>
                <c:pt idx="25">
                  <c:v>0.72399999999999998</c:v>
                </c:pt>
              </c:numCache>
            </c:numRef>
          </c:val>
        </c:ser>
        <c:ser>
          <c:idx val="17"/>
          <c:order val="17"/>
          <c:tx>
            <c:v>T = 40</c:v>
          </c:tx>
          <c:spPr>
            <a:ln w="12700">
              <a:solidFill>
                <a:srgbClr val="33CCCC"/>
              </a:solidFill>
              <a:prstDash val="solid"/>
            </a:ln>
          </c:spPr>
          <c:marker>
            <c:symbol val="dash"/>
            <c:size val="5"/>
            <c:spPr>
              <a:noFill/>
              <a:ln>
                <a:solidFill>
                  <a:srgbClr val="33CCCC"/>
                </a:solidFill>
                <a:prstDash val="solid"/>
              </a:ln>
            </c:spPr>
          </c:marker>
          <c:trendline>
            <c:spPr>
              <a:ln w="25400">
                <a:solidFill>
                  <a:srgbClr val="000000"/>
                </a:solidFill>
                <a:prstDash val="solid"/>
              </a:ln>
            </c:spPr>
            <c:trendlineType val="poly"/>
            <c:order val="3"/>
          </c:trendline>
          <c:cat>
            <c:numRef>
              <c:f>'DATA - MW = 18.85 (Sp Gr= 0.65)'!$A$8:$A$33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18.85 (Sp Gr= 0.65)'!$X$8:$X$33</c:f>
              <c:numCache>
                <c:formatCode>General</c:formatCode>
                <c:ptCount val="26"/>
                <c:pt idx="0">
                  <c:v>1</c:v>
                </c:pt>
                <c:pt idx="1">
                  <c:v>0.98119999999999996</c:v>
                </c:pt>
                <c:pt idx="2">
                  <c:v>0.97099999999999997</c:v>
                </c:pt>
                <c:pt idx="3">
                  <c:v>0.96039999999999992</c:v>
                </c:pt>
                <c:pt idx="4">
                  <c:v>0.94919999999999993</c:v>
                </c:pt>
                <c:pt idx="5">
                  <c:v>0.93899999999999995</c:v>
                </c:pt>
                <c:pt idx="6">
                  <c:v>0.92700000000000005</c:v>
                </c:pt>
                <c:pt idx="7">
                  <c:v>0.91620000000000001</c:v>
                </c:pt>
                <c:pt idx="8">
                  <c:v>0.90400000000000003</c:v>
                </c:pt>
                <c:pt idx="9">
                  <c:v>0.89339999999999997</c:v>
                </c:pt>
                <c:pt idx="10">
                  <c:v>0.88360000000000005</c:v>
                </c:pt>
                <c:pt idx="11">
                  <c:v>0.87160000000000004</c:v>
                </c:pt>
                <c:pt idx="12">
                  <c:v>0.85699999999999998</c:v>
                </c:pt>
                <c:pt idx="13">
                  <c:v>0.84660000000000002</c:v>
                </c:pt>
                <c:pt idx="14">
                  <c:v>0.83599999999999997</c:v>
                </c:pt>
                <c:pt idx="15">
                  <c:v>0.82540000000000002</c:v>
                </c:pt>
                <c:pt idx="16">
                  <c:v>0.81359999999999999</c:v>
                </c:pt>
                <c:pt idx="17">
                  <c:v>0.79899999999999993</c:v>
                </c:pt>
                <c:pt idx="18">
                  <c:v>0.78720000000000001</c:v>
                </c:pt>
                <c:pt idx="19">
                  <c:v>0.78</c:v>
                </c:pt>
                <c:pt idx="20">
                  <c:v>0.76500000000000001</c:v>
                </c:pt>
                <c:pt idx="21">
                  <c:v>0.75119999999999998</c:v>
                </c:pt>
                <c:pt idx="22">
                  <c:v>0.74019999999999997</c:v>
                </c:pt>
                <c:pt idx="23">
                  <c:v>0.73180000000000001</c:v>
                </c:pt>
                <c:pt idx="24">
                  <c:v>0.72260000000000002</c:v>
                </c:pt>
                <c:pt idx="25">
                  <c:v>0.71199999999999997</c:v>
                </c:pt>
              </c:numCache>
            </c:numRef>
          </c:val>
        </c:ser>
        <c:ser>
          <c:idx val="18"/>
          <c:order val="18"/>
          <c:tx>
            <c:v>T = 35</c:v>
          </c:tx>
          <c:spPr>
            <a:ln w="12700">
              <a:solidFill>
                <a:srgbClr val="99CC00"/>
              </a:solidFill>
              <a:prstDash val="solid"/>
            </a:ln>
          </c:spPr>
          <c:marker>
            <c:symbol val="diamond"/>
            <c:size val="5"/>
            <c:spPr>
              <a:solidFill>
                <a:srgbClr val="99CC00"/>
              </a:solidFill>
              <a:ln>
                <a:solidFill>
                  <a:srgbClr val="99CC00"/>
                </a:solidFill>
                <a:prstDash val="solid"/>
              </a:ln>
            </c:spPr>
          </c:marker>
          <c:trendline>
            <c:spPr>
              <a:ln w="25400">
                <a:solidFill>
                  <a:srgbClr val="000000"/>
                </a:solidFill>
                <a:prstDash val="solid"/>
              </a:ln>
            </c:spPr>
            <c:trendlineType val="poly"/>
            <c:order val="3"/>
          </c:trendline>
          <c:cat>
            <c:numRef>
              <c:f>'DATA - MW = 18.85 (Sp Gr= 0.65)'!$A$8:$A$33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18.85 (Sp Gr= 0.65)'!$Y$8:$Y$33</c:f>
              <c:numCache>
                <c:formatCode>General</c:formatCode>
                <c:ptCount val="26"/>
                <c:pt idx="0">
                  <c:v>1</c:v>
                </c:pt>
                <c:pt idx="1">
                  <c:v>0.98080000000000001</c:v>
                </c:pt>
                <c:pt idx="2">
                  <c:v>0.96899999999999997</c:v>
                </c:pt>
                <c:pt idx="3">
                  <c:v>0.95760000000000001</c:v>
                </c:pt>
                <c:pt idx="4">
                  <c:v>0.94579999999999997</c:v>
                </c:pt>
                <c:pt idx="5">
                  <c:v>0.93600000000000005</c:v>
                </c:pt>
                <c:pt idx="6">
                  <c:v>0.92300000000000004</c:v>
                </c:pt>
                <c:pt idx="7">
                  <c:v>0.91180000000000005</c:v>
                </c:pt>
                <c:pt idx="8">
                  <c:v>0.89900000000000002</c:v>
                </c:pt>
                <c:pt idx="9">
                  <c:v>0.88760000000000006</c:v>
                </c:pt>
                <c:pt idx="10">
                  <c:v>0.87739999999999996</c:v>
                </c:pt>
                <c:pt idx="11">
                  <c:v>0.86539999999999995</c:v>
                </c:pt>
                <c:pt idx="12">
                  <c:v>0.85</c:v>
                </c:pt>
                <c:pt idx="13">
                  <c:v>0.83839999999999992</c:v>
                </c:pt>
                <c:pt idx="14">
                  <c:v>0.82800000000000007</c:v>
                </c:pt>
                <c:pt idx="15">
                  <c:v>0.81759999999999999</c:v>
                </c:pt>
                <c:pt idx="16">
                  <c:v>0.8054</c:v>
                </c:pt>
                <c:pt idx="17">
                  <c:v>0.79</c:v>
                </c:pt>
                <c:pt idx="18">
                  <c:v>0.77780000000000005</c:v>
                </c:pt>
                <c:pt idx="19">
                  <c:v>0.77</c:v>
                </c:pt>
                <c:pt idx="20">
                  <c:v>0.755</c:v>
                </c:pt>
                <c:pt idx="21">
                  <c:v>0.74080000000000001</c:v>
                </c:pt>
                <c:pt idx="22">
                  <c:v>0.7298</c:v>
                </c:pt>
                <c:pt idx="23">
                  <c:v>0.72119999999999995</c:v>
                </c:pt>
                <c:pt idx="24">
                  <c:v>0.71139999999999992</c:v>
                </c:pt>
                <c:pt idx="25">
                  <c:v>0.70000000000000007</c:v>
                </c:pt>
              </c:numCache>
            </c:numRef>
          </c:val>
        </c:ser>
        <c:ser>
          <c:idx val="19"/>
          <c:order val="19"/>
          <c:tx>
            <c:v>T = 30</c:v>
          </c:tx>
          <c:spPr>
            <a:ln w="12700">
              <a:solidFill>
                <a:srgbClr val="FFCC00"/>
              </a:solidFill>
              <a:prstDash val="solid"/>
            </a:ln>
          </c:spPr>
          <c:marker>
            <c:symbol val="square"/>
            <c:size val="5"/>
            <c:spPr>
              <a:solidFill>
                <a:srgbClr val="FFCC00"/>
              </a:solidFill>
              <a:ln>
                <a:solidFill>
                  <a:srgbClr val="FFCC00"/>
                </a:solidFill>
                <a:prstDash val="solid"/>
              </a:ln>
            </c:spPr>
          </c:marker>
          <c:trendline>
            <c:spPr>
              <a:ln w="25400">
                <a:solidFill>
                  <a:srgbClr val="000000"/>
                </a:solidFill>
                <a:prstDash val="solid"/>
              </a:ln>
            </c:spPr>
            <c:trendlineType val="poly"/>
            <c:order val="3"/>
          </c:trendline>
          <c:cat>
            <c:numRef>
              <c:f>'DATA - MW = 18.85 (Sp Gr= 0.65)'!$A$8:$A$33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18.85 (Sp Gr= 0.65)'!$Z$8:$Z$33</c:f>
              <c:numCache>
                <c:formatCode>General</c:formatCode>
                <c:ptCount val="26"/>
                <c:pt idx="0">
                  <c:v>1</c:v>
                </c:pt>
                <c:pt idx="1">
                  <c:v>0.98039999999999994</c:v>
                </c:pt>
                <c:pt idx="2">
                  <c:v>0.96699999999999997</c:v>
                </c:pt>
                <c:pt idx="3">
                  <c:v>0.95479999999999998</c:v>
                </c:pt>
                <c:pt idx="4">
                  <c:v>0.9423999999999999</c:v>
                </c:pt>
                <c:pt idx="5">
                  <c:v>0.93300000000000005</c:v>
                </c:pt>
                <c:pt idx="6">
                  <c:v>0.91900000000000004</c:v>
                </c:pt>
                <c:pt idx="7">
                  <c:v>0.90739999999999998</c:v>
                </c:pt>
                <c:pt idx="8">
                  <c:v>0.89400000000000002</c:v>
                </c:pt>
                <c:pt idx="9">
                  <c:v>0.88180000000000003</c:v>
                </c:pt>
                <c:pt idx="10">
                  <c:v>0.87119999999999997</c:v>
                </c:pt>
                <c:pt idx="11">
                  <c:v>0.85919999999999996</c:v>
                </c:pt>
                <c:pt idx="12">
                  <c:v>0.84299999999999997</c:v>
                </c:pt>
                <c:pt idx="13">
                  <c:v>0.83019999999999994</c:v>
                </c:pt>
                <c:pt idx="14">
                  <c:v>0.82000000000000006</c:v>
                </c:pt>
                <c:pt idx="15">
                  <c:v>0.80980000000000008</c:v>
                </c:pt>
                <c:pt idx="16">
                  <c:v>0.79720000000000002</c:v>
                </c:pt>
                <c:pt idx="17">
                  <c:v>0.78100000000000003</c:v>
                </c:pt>
                <c:pt idx="18">
                  <c:v>0.76839999999999997</c:v>
                </c:pt>
                <c:pt idx="19">
                  <c:v>0.76</c:v>
                </c:pt>
                <c:pt idx="20">
                  <c:v>0.745</c:v>
                </c:pt>
                <c:pt idx="21">
                  <c:v>0.73039999999999994</c:v>
                </c:pt>
                <c:pt idx="22">
                  <c:v>0.71939999999999993</c:v>
                </c:pt>
                <c:pt idx="23">
                  <c:v>0.71060000000000001</c:v>
                </c:pt>
                <c:pt idx="24">
                  <c:v>0.70019999999999993</c:v>
                </c:pt>
                <c:pt idx="25">
                  <c:v>0.68800000000000006</c:v>
                </c:pt>
              </c:numCache>
            </c:numRef>
          </c:val>
        </c:ser>
        <c:ser>
          <c:idx val="20"/>
          <c:order val="20"/>
          <c:tx>
            <c:v>T = 20</c:v>
          </c:tx>
          <c:spPr>
            <a:ln w="12700">
              <a:solidFill>
                <a:srgbClr val="FF9900"/>
              </a:solidFill>
              <a:prstDash val="solid"/>
            </a:ln>
          </c:spPr>
          <c:marker>
            <c:symbol val="triangle"/>
            <c:size val="5"/>
            <c:spPr>
              <a:solidFill>
                <a:srgbClr val="FF9900"/>
              </a:solidFill>
              <a:ln>
                <a:solidFill>
                  <a:srgbClr val="FF9900"/>
                </a:solidFill>
                <a:prstDash val="solid"/>
              </a:ln>
            </c:spPr>
          </c:marker>
          <c:trendline>
            <c:spPr>
              <a:ln w="25400">
                <a:solidFill>
                  <a:srgbClr val="000000"/>
                </a:solidFill>
                <a:prstDash val="solid"/>
              </a:ln>
            </c:spPr>
            <c:trendlineType val="poly"/>
            <c:order val="3"/>
          </c:trendline>
          <c:cat>
            <c:numRef>
              <c:f>'DATA - MW = 18.85 (Sp Gr= 0.65)'!$A$8:$A$33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18.85 (Sp Gr= 0.65)'!$AB$8:$AB$33</c:f>
              <c:numCache>
                <c:formatCode>General</c:formatCode>
                <c:ptCount val="26"/>
                <c:pt idx="0">
                  <c:v>1</c:v>
                </c:pt>
                <c:pt idx="1">
                  <c:v>0.97733333333333328</c:v>
                </c:pt>
                <c:pt idx="2">
                  <c:v>0.96166666666666667</c:v>
                </c:pt>
                <c:pt idx="3">
                  <c:v>0.94799999999999995</c:v>
                </c:pt>
                <c:pt idx="4">
                  <c:v>0.93433333333333335</c:v>
                </c:pt>
                <c:pt idx="5">
                  <c:v>0.92333333333333334</c:v>
                </c:pt>
                <c:pt idx="6">
                  <c:v>0.90833333333333333</c:v>
                </c:pt>
                <c:pt idx="7">
                  <c:v>0.89533333333333331</c:v>
                </c:pt>
                <c:pt idx="8">
                  <c:v>0.88</c:v>
                </c:pt>
                <c:pt idx="9">
                  <c:v>0.86733333333333329</c:v>
                </c:pt>
                <c:pt idx="10">
                  <c:v>0.85499999999999998</c:v>
                </c:pt>
                <c:pt idx="11">
                  <c:v>0.84066666666666667</c:v>
                </c:pt>
                <c:pt idx="12">
                  <c:v>0.82499999999999996</c:v>
                </c:pt>
                <c:pt idx="13">
                  <c:v>0.80966666666666665</c:v>
                </c:pt>
                <c:pt idx="14">
                  <c:v>0.79800000000000004</c:v>
                </c:pt>
                <c:pt idx="15">
                  <c:v>0.78600000000000003</c:v>
                </c:pt>
                <c:pt idx="16">
                  <c:v>0.77266666666666672</c:v>
                </c:pt>
                <c:pt idx="17">
                  <c:v>0.7543333333333333</c:v>
                </c:pt>
                <c:pt idx="18">
                  <c:v>0.74033333333333329</c:v>
                </c:pt>
                <c:pt idx="19">
                  <c:v>0.73</c:v>
                </c:pt>
                <c:pt idx="20">
                  <c:v>0.71499999999999997</c:v>
                </c:pt>
                <c:pt idx="21">
                  <c:v>0.69733333333333336</c:v>
                </c:pt>
                <c:pt idx="22">
                  <c:v>0.68299999999999994</c:v>
                </c:pt>
                <c:pt idx="23">
                  <c:v>0.67199999999999993</c:v>
                </c:pt>
                <c:pt idx="24">
                  <c:v>0.66099999999999992</c:v>
                </c:pt>
                <c:pt idx="25">
                  <c:v>0.64733333333333332</c:v>
                </c:pt>
              </c:numCache>
            </c:numRef>
          </c:val>
        </c:ser>
        <c:ser>
          <c:idx val="21"/>
          <c:order val="21"/>
          <c:tx>
            <c:v>T = 15</c:v>
          </c:tx>
          <c:spPr>
            <a:ln w="12700">
              <a:solidFill>
                <a:srgbClr val="FF6600"/>
              </a:solidFill>
              <a:prstDash val="solid"/>
            </a:ln>
          </c:spPr>
          <c:marker>
            <c:symbol val="x"/>
            <c:size val="5"/>
            <c:spPr>
              <a:noFill/>
              <a:ln>
                <a:solidFill>
                  <a:srgbClr val="FF6600"/>
                </a:solidFill>
                <a:prstDash val="solid"/>
              </a:ln>
            </c:spPr>
          </c:marker>
          <c:trendline>
            <c:spPr>
              <a:ln w="25400">
                <a:solidFill>
                  <a:srgbClr val="000000"/>
                </a:solidFill>
                <a:prstDash val="solid"/>
              </a:ln>
            </c:spPr>
            <c:trendlineType val="poly"/>
            <c:order val="3"/>
          </c:trendline>
          <c:cat>
            <c:numRef>
              <c:f>'DATA - MW = 18.85 (Sp Gr= 0.65)'!$A$8:$A$33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18.85 (Sp Gr= 0.65)'!$AC$8:$AC$33</c:f>
              <c:numCache>
                <c:formatCode>General</c:formatCode>
                <c:ptCount val="26"/>
                <c:pt idx="0">
                  <c:v>1</c:v>
                </c:pt>
                <c:pt idx="1">
                  <c:v>0.97466666666666668</c:v>
                </c:pt>
                <c:pt idx="2">
                  <c:v>0.95833333333333326</c:v>
                </c:pt>
                <c:pt idx="3">
                  <c:v>0.94399999999999995</c:v>
                </c:pt>
                <c:pt idx="4">
                  <c:v>0.92966666666666664</c:v>
                </c:pt>
                <c:pt idx="5">
                  <c:v>0.91666666666666674</c:v>
                </c:pt>
                <c:pt idx="6">
                  <c:v>0.90166666666666673</c:v>
                </c:pt>
                <c:pt idx="7">
                  <c:v>0.88766666666666671</c:v>
                </c:pt>
                <c:pt idx="8">
                  <c:v>0.871</c:v>
                </c:pt>
                <c:pt idx="9">
                  <c:v>0.85866666666666669</c:v>
                </c:pt>
                <c:pt idx="10">
                  <c:v>0.84499999999999997</c:v>
                </c:pt>
                <c:pt idx="11">
                  <c:v>0.82833333333333325</c:v>
                </c:pt>
                <c:pt idx="12">
                  <c:v>0.81400000000000006</c:v>
                </c:pt>
                <c:pt idx="13">
                  <c:v>0.79733333333333334</c:v>
                </c:pt>
                <c:pt idx="14">
                  <c:v>0.78400000000000003</c:v>
                </c:pt>
                <c:pt idx="15">
                  <c:v>0.77</c:v>
                </c:pt>
                <c:pt idx="16">
                  <c:v>0.7563333333333333</c:v>
                </c:pt>
                <c:pt idx="17">
                  <c:v>0.73666666666666669</c:v>
                </c:pt>
                <c:pt idx="18">
                  <c:v>0.72166666666666668</c:v>
                </c:pt>
                <c:pt idx="19">
                  <c:v>0.71</c:v>
                </c:pt>
                <c:pt idx="20">
                  <c:v>0.69500000000000006</c:v>
                </c:pt>
                <c:pt idx="21">
                  <c:v>0.67466666666666664</c:v>
                </c:pt>
                <c:pt idx="22">
                  <c:v>0.65700000000000003</c:v>
                </c:pt>
                <c:pt idx="23">
                  <c:v>0.64400000000000002</c:v>
                </c:pt>
                <c:pt idx="24">
                  <c:v>0.63300000000000001</c:v>
                </c:pt>
                <c:pt idx="25">
                  <c:v>0.6186666666666667</c:v>
                </c:pt>
              </c:numCache>
            </c:numRef>
          </c:val>
        </c:ser>
        <c:ser>
          <c:idx val="22"/>
          <c:order val="22"/>
          <c:tx>
            <c:v>T = 10</c:v>
          </c:tx>
          <c:spPr>
            <a:ln w="12700">
              <a:solidFill>
                <a:srgbClr val="666699"/>
              </a:solidFill>
              <a:prstDash val="solid"/>
            </a:ln>
          </c:spPr>
          <c:marker>
            <c:symbol val="star"/>
            <c:size val="5"/>
            <c:spPr>
              <a:noFill/>
              <a:ln>
                <a:solidFill>
                  <a:srgbClr val="666699"/>
                </a:solidFill>
                <a:prstDash val="solid"/>
              </a:ln>
            </c:spPr>
          </c:marker>
          <c:trendline>
            <c:spPr>
              <a:ln w="25400">
                <a:solidFill>
                  <a:srgbClr val="000000"/>
                </a:solidFill>
                <a:prstDash val="solid"/>
              </a:ln>
            </c:spPr>
            <c:trendlineType val="poly"/>
            <c:order val="3"/>
          </c:trendline>
          <c:cat>
            <c:numRef>
              <c:f>'DATA - MW = 18.85 (Sp Gr= 0.65)'!$A$8:$A$33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18.85 (Sp Gr= 0.65)'!$AD$8:$AD$33</c:f>
              <c:numCache>
                <c:formatCode>General</c:formatCode>
                <c:ptCount val="26"/>
                <c:pt idx="0">
                  <c:v>1</c:v>
                </c:pt>
                <c:pt idx="1">
                  <c:v>0.97199999999999998</c:v>
                </c:pt>
                <c:pt idx="2">
                  <c:v>0.95499999999999996</c:v>
                </c:pt>
                <c:pt idx="3">
                  <c:v>0.94</c:v>
                </c:pt>
                <c:pt idx="4">
                  <c:v>0.92500000000000004</c:v>
                </c:pt>
                <c:pt idx="5">
                  <c:v>0.91</c:v>
                </c:pt>
                <c:pt idx="6">
                  <c:v>0.89500000000000002</c:v>
                </c:pt>
                <c:pt idx="7">
                  <c:v>0.88</c:v>
                </c:pt>
                <c:pt idx="8">
                  <c:v>0.86199999999999999</c:v>
                </c:pt>
                <c:pt idx="9">
                  <c:v>0.85</c:v>
                </c:pt>
                <c:pt idx="10">
                  <c:v>0.83499999999999996</c:v>
                </c:pt>
                <c:pt idx="11">
                  <c:v>0.81599999999999995</c:v>
                </c:pt>
                <c:pt idx="12">
                  <c:v>0.80300000000000005</c:v>
                </c:pt>
                <c:pt idx="13">
                  <c:v>0.78500000000000003</c:v>
                </c:pt>
                <c:pt idx="14">
                  <c:v>0.77</c:v>
                </c:pt>
                <c:pt idx="15">
                  <c:v>0.754</c:v>
                </c:pt>
                <c:pt idx="16">
                  <c:v>0.74</c:v>
                </c:pt>
                <c:pt idx="17">
                  <c:v>0.71899999999999997</c:v>
                </c:pt>
                <c:pt idx="18">
                  <c:v>0.70299999999999996</c:v>
                </c:pt>
                <c:pt idx="19">
                  <c:v>0.69</c:v>
                </c:pt>
                <c:pt idx="20">
                  <c:v>0.67500000000000004</c:v>
                </c:pt>
                <c:pt idx="21">
                  <c:v>0.65200000000000002</c:v>
                </c:pt>
                <c:pt idx="22">
                  <c:v>0.63100000000000001</c:v>
                </c:pt>
                <c:pt idx="23">
                  <c:v>0.61599999999999999</c:v>
                </c:pt>
                <c:pt idx="24">
                  <c:v>0.60499999999999998</c:v>
                </c:pt>
                <c:pt idx="25">
                  <c:v>0.59</c:v>
                </c:pt>
              </c:numCache>
            </c:numRef>
          </c:val>
        </c:ser>
        <c:ser>
          <c:idx val="23"/>
          <c:order val="23"/>
          <c:tx>
            <c:v>T = 5</c:v>
          </c:tx>
          <c:spPr>
            <a:ln w="12700">
              <a:solidFill>
                <a:srgbClr val="969696"/>
              </a:solidFill>
              <a:prstDash val="solid"/>
            </a:ln>
          </c:spPr>
          <c:marker>
            <c:symbol val="circle"/>
            <c:size val="5"/>
            <c:spPr>
              <a:solidFill>
                <a:srgbClr val="969696"/>
              </a:solidFill>
              <a:ln>
                <a:solidFill>
                  <a:srgbClr val="969696"/>
                </a:solidFill>
                <a:prstDash val="solid"/>
              </a:ln>
            </c:spPr>
          </c:marker>
          <c:trendline>
            <c:spPr>
              <a:ln w="25400">
                <a:solidFill>
                  <a:srgbClr val="000000"/>
                </a:solidFill>
                <a:prstDash val="solid"/>
              </a:ln>
            </c:spPr>
            <c:trendlineType val="poly"/>
            <c:order val="3"/>
          </c:trendline>
          <c:cat>
            <c:numRef>
              <c:f>'DATA - MW = 18.85 (Sp Gr= 0.65)'!$A$8:$A$33</c:f>
              <c:numCache>
                <c:formatCode>General</c:formatCode>
                <c:ptCount val="26"/>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numCache>
            </c:numRef>
          </c:cat>
          <c:val>
            <c:numRef>
              <c:f>'DATA - MW = 18.85 (Sp Gr= 0.65)'!$AE$8:$AE$33</c:f>
              <c:numCache>
                <c:formatCode>General</c:formatCode>
                <c:ptCount val="26"/>
                <c:pt idx="0">
                  <c:v>1</c:v>
                </c:pt>
                <c:pt idx="1">
                  <c:v>0.96933333333333327</c:v>
                </c:pt>
                <c:pt idx="2">
                  <c:v>0.95166666666666666</c:v>
                </c:pt>
                <c:pt idx="3">
                  <c:v>0.93599999999999994</c:v>
                </c:pt>
                <c:pt idx="4">
                  <c:v>0.92033333333333345</c:v>
                </c:pt>
                <c:pt idx="5">
                  <c:v>0.90333333333333332</c:v>
                </c:pt>
                <c:pt idx="6">
                  <c:v>0.88833333333333331</c:v>
                </c:pt>
                <c:pt idx="7">
                  <c:v>0.87233333333333329</c:v>
                </c:pt>
                <c:pt idx="8">
                  <c:v>0.85299999999999998</c:v>
                </c:pt>
                <c:pt idx="9">
                  <c:v>0.84133333333333327</c:v>
                </c:pt>
                <c:pt idx="10">
                  <c:v>0.82499999999999996</c:v>
                </c:pt>
                <c:pt idx="11">
                  <c:v>0.80366666666666664</c:v>
                </c:pt>
                <c:pt idx="12">
                  <c:v>0.79200000000000004</c:v>
                </c:pt>
                <c:pt idx="13">
                  <c:v>0.77266666666666672</c:v>
                </c:pt>
                <c:pt idx="14">
                  <c:v>0.75600000000000001</c:v>
                </c:pt>
                <c:pt idx="15">
                  <c:v>0.73799999999999999</c:v>
                </c:pt>
                <c:pt idx="16">
                  <c:v>0.72366666666666668</c:v>
                </c:pt>
                <c:pt idx="17">
                  <c:v>0.70133333333333325</c:v>
                </c:pt>
                <c:pt idx="18">
                  <c:v>0.68433333333333324</c:v>
                </c:pt>
                <c:pt idx="19">
                  <c:v>0.66999999999999993</c:v>
                </c:pt>
                <c:pt idx="20">
                  <c:v>0.65500000000000003</c:v>
                </c:pt>
                <c:pt idx="21">
                  <c:v>0.62933333333333341</c:v>
                </c:pt>
                <c:pt idx="22">
                  <c:v>0.60499999999999998</c:v>
                </c:pt>
                <c:pt idx="23">
                  <c:v>0.58799999999999997</c:v>
                </c:pt>
                <c:pt idx="24">
                  <c:v>0.57699999999999996</c:v>
                </c:pt>
                <c:pt idx="25">
                  <c:v>0.56133333333333324</c:v>
                </c:pt>
              </c:numCache>
            </c:numRef>
          </c:val>
        </c:ser>
        <c:marker val="1"/>
        <c:axId val="144207232"/>
        <c:axId val="144225792"/>
      </c:lineChart>
      <c:catAx>
        <c:axId val="144207232"/>
        <c:scaling>
          <c:orientation val="minMax"/>
        </c:scaling>
        <c:axPos val="b"/>
        <c:title>
          <c:tx>
            <c:rich>
              <a:bodyPr/>
              <a:lstStyle/>
              <a:p>
                <a:pPr>
                  <a:defRPr sz="1000" b="1" i="0" u="none" strike="noStrike" baseline="0">
                    <a:solidFill>
                      <a:srgbClr val="000000"/>
                    </a:solidFill>
                    <a:latin typeface="Arial"/>
                    <a:ea typeface="Arial"/>
                    <a:cs typeface="Arial"/>
                  </a:defRPr>
                </a:pPr>
                <a:r>
                  <a:rPr lang="en-US"/>
                  <a:t>Pressure</a:t>
                </a:r>
              </a:p>
            </c:rich>
          </c:tx>
          <c:layout>
            <c:manualLayout>
              <c:xMode val="edge"/>
              <c:yMode val="edge"/>
              <c:x val="0.42841287458379712"/>
              <c:y val="0.94616639477977149"/>
            </c:manualLayout>
          </c:layout>
          <c:spPr>
            <a:noFill/>
            <a:ln w="25400">
              <a:noFill/>
            </a:ln>
          </c:spPr>
        </c:title>
        <c:numFmt formatCode="General" sourceLinked="1"/>
        <c:min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4225792"/>
        <c:crossesAt val="0.55000000000000004"/>
        <c:auto val="1"/>
        <c:lblAlgn val="ctr"/>
        <c:lblOffset val="100"/>
        <c:tickLblSkip val="4"/>
        <c:tickMarkSkip val="1"/>
      </c:catAx>
      <c:valAx>
        <c:axId val="144225792"/>
        <c:scaling>
          <c:orientation val="minMax"/>
          <c:min val="0.55000000000000004"/>
        </c:scaling>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Z</a:t>
                </a:r>
              </a:p>
            </c:rich>
          </c:tx>
          <c:layout>
            <c:manualLayout>
              <c:xMode val="edge"/>
              <c:yMode val="edge"/>
              <c:x val="1.1098779134295227E-2"/>
              <c:y val="0.5008156606851549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4207232"/>
        <c:crosses val="autoZero"/>
        <c:crossBetween val="between"/>
      </c:valAx>
      <c:spPr>
        <a:solidFill>
          <a:srgbClr val="FFFFFF"/>
        </a:solidFill>
        <a:ln w="12700">
          <a:solidFill>
            <a:srgbClr val="808080"/>
          </a:solidFill>
          <a:prstDash val="solid"/>
        </a:ln>
      </c:spPr>
    </c:plotArea>
    <c:legend>
      <c:legendPos val="r"/>
      <c:layout>
        <c:manualLayout>
          <c:xMode val="edge"/>
          <c:yMode val="edge"/>
          <c:x val="0.85571587125416504"/>
          <c:y val="8.1566068515498535E-3"/>
          <c:w val="0.138734739178691"/>
          <c:h val="0.9918433931484506"/>
        </c:manualLayout>
      </c:layout>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7.9222836122647133E-2"/>
          <c:y val="7.6294379436280549E-2"/>
          <c:w val="0.65919378736014156"/>
          <c:h val="0.73297100244141444"/>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trendline>
          <c:cat>
            <c:numRef>
              <c:f>'Z Ratio - Velocity Sheet'!$A$8:$A$32</c:f>
              <c:numCache>
                <c:formatCode>General</c:formatCode>
                <c:ptCount val="25"/>
                <c:pt idx="0">
                  <c:v>50</c:v>
                </c:pt>
                <c:pt idx="1">
                  <c:v>100</c:v>
                </c:pt>
                <c:pt idx="2">
                  <c:v>150</c:v>
                </c:pt>
                <c:pt idx="3">
                  <c:v>200</c:v>
                </c:pt>
                <c:pt idx="4">
                  <c:v>250</c:v>
                </c:pt>
                <c:pt idx="5">
                  <c:v>300</c:v>
                </c:pt>
                <c:pt idx="6">
                  <c:v>350</c:v>
                </c:pt>
                <c:pt idx="7">
                  <c:v>400</c:v>
                </c:pt>
                <c:pt idx="8">
                  <c:v>450</c:v>
                </c:pt>
                <c:pt idx="9">
                  <c:v>500</c:v>
                </c:pt>
                <c:pt idx="10">
                  <c:v>550</c:v>
                </c:pt>
                <c:pt idx="11">
                  <c:v>600</c:v>
                </c:pt>
                <c:pt idx="12">
                  <c:v>650</c:v>
                </c:pt>
                <c:pt idx="13">
                  <c:v>700</c:v>
                </c:pt>
                <c:pt idx="14">
                  <c:v>750</c:v>
                </c:pt>
                <c:pt idx="15">
                  <c:v>800</c:v>
                </c:pt>
                <c:pt idx="16">
                  <c:v>850</c:v>
                </c:pt>
                <c:pt idx="17">
                  <c:v>900</c:v>
                </c:pt>
                <c:pt idx="18">
                  <c:v>950</c:v>
                </c:pt>
                <c:pt idx="19">
                  <c:v>1000</c:v>
                </c:pt>
                <c:pt idx="20">
                  <c:v>1050</c:v>
                </c:pt>
                <c:pt idx="21">
                  <c:v>1100</c:v>
                </c:pt>
                <c:pt idx="22">
                  <c:v>1150</c:v>
                </c:pt>
                <c:pt idx="23">
                  <c:v>1200</c:v>
                </c:pt>
                <c:pt idx="24">
                  <c:v>1250</c:v>
                </c:pt>
              </c:numCache>
            </c:numRef>
          </c:cat>
          <c:val>
            <c:numRef>
              <c:f>'Z Ratio - Velocity Sheet'!$B$8:$B$32</c:f>
              <c:numCache>
                <c:formatCode>General</c:formatCode>
                <c:ptCount val="25"/>
                <c:pt idx="0">
                  <c:v>0.99064750000000001</c:v>
                </c:pt>
                <c:pt idx="1">
                  <c:v>0.98339750000000004</c:v>
                </c:pt>
                <c:pt idx="2">
                  <c:v>0.97614749999999995</c:v>
                </c:pt>
                <c:pt idx="3">
                  <c:v>0.96889749999999997</c:v>
                </c:pt>
                <c:pt idx="4">
                  <c:v>0.96164749999999999</c:v>
                </c:pt>
                <c:pt idx="5">
                  <c:v>0.95439750000000001</c:v>
                </c:pt>
                <c:pt idx="6">
                  <c:v>0.94714750000000003</c:v>
                </c:pt>
                <c:pt idx="7">
                  <c:v>0.93989750000000005</c:v>
                </c:pt>
                <c:pt idx="8">
                  <c:v>0.93264749999999996</c:v>
                </c:pt>
                <c:pt idx="9">
                  <c:v>0.92539749999999998</c:v>
                </c:pt>
                <c:pt idx="10">
                  <c:v>0.91814750000000001</c:v>
                </c:pt>
                <c:pt idx="11">
                  <c:v>0.91089750000000003</c:v>
                </c:pt>
                <c:pt idx="12">
                  <c:v>0.90364750000000005</c:v>
                </c:pt>
                <c:pt idx="13">
                  <c:v>0.89639749999999996</c:v>
                </c:pt>
                <c:pt idx="14">
                  <c:v>0.88914749999999998</c:v>
                </c:pt>
                <c:pt idx="15">
                  <c:v>0.8818975</c:v>
                </c:pt>
                <c:pt idx="16">
                  <c:v>0.87464750000000002</c:v>
                </c:pt>
                <c:pt idx="17">
                  <c:v>0.86739750000000004</c:v>
                </c:pt>
                <c:pt idx="18">
                  <c:v>0.86014750000000006</c:v>
                </c:pt>
                <c:pt idx="19">
                  <c:v>0.85289749999999998</c:v>
                </c:pt>
                <c:pt idx="20">
                  <c:v>0.8456475</c:v>
                </c:pt>
                <c:pt idx="21">
                  <c:v>0.83839750000000002</c:v>
                </c:pt>
                <c:pt idx="22">
                  <c:v>0.83114750000000004</c:v>
                </c:pt>
                <c:pt idx="23">
                  <c:v>0.82389749999999995</c:v>
                </c:pt>
                <c:pt idx="24">
                  <c:v>0.81664749999999997</c:v>
                </c:pt>
              </c:numCache>
            </c:numRef>
          </c:val>
        </c:ser>
        <c:marker val="1"/>
        <c:axId val="144288384"/>
        <c:axId val="144290176"/>
      </c:lineChart>
      <c:catAx>
        <c:axId val="144288384"/>
        <c:scaling>
          <c:orientation val="minMax"/>
        </c:scaling>
        <c:axPos val="b"/>
        <c:numFmt formatCode="General" sourceLinked="1"/>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en-US"/>
          </a:p>
        </c:txPr>
        <c:crossAx val="144290176"/>
        <c:crosses val="autoZero"/>
        <c:auto val="1"/>
        <c:lblAlgn val="ctr"/>
        <c:lblOffset val="100"/>
        <c:tickLblSkip val="2"/>
        <c:tickMarkSkip val="1"/>
      </c:catAx>
      <c:valAx>
        <c:axId val="144290176"/>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44288384"/>
        <c:crosses val="autoZero"/>
        <c:crossBetween val="between"/>
      </c:valAx>
      <c:spPr>
        <a:solidFill>
          <a:srgbClr val="C0C0C0"/>
        </a:solidFill>
        <a:ln w="12700">
          <a:solidFill>
            <a:srgbClr val="808080"/>
          </a:solidFill>
          <a:prstDash val="solid"/>
        </a:ln>
      </c:spPr>
    </c:plotArea>
    <c:legend>
      <c:legendPos val="r"/>
      <c:layout>
        <c:manualLayout>
          <c:xMode val="edge"/>
          <c:yMode val="edge"/>
          <c:x val="0.7548590955278599"/>
          <c:y val="0.37602237050069215"/>
          <c:w val="0.23318417036435468"/>
          <c:h val="0.13351527244380559"/>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c:printSettings>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chartsheets/sheet1.xml><?xml version="1.0" encoding="utf-8"?>
<chartsheet xmlns="http://schemas.openxmlformats.org/spreadsheetml/2006/main" xmlns:r="http://schemas.openxmlformats.org/officeDocument/2006/relationships">
  <sheetPr codeName="Chart5"/>
  <sheetViews>
    <sheetView zoomScale="91" workbookViewId="0"/>
  </sheetViews>
  <sheetProtection content="1" objects="1"/>
  <pageMargins left="0.75" right="0.75" top="1" bottom="1" header="0.5" footer="0.5"/>
  <pageSetup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codeName="Chart6"/>
  <sheetViews>
    <sheetView zoomScale="91" workbookViewId="0"/>
  </sheetViews>
  <sheetProtection content="1" objects="1"/>
  <pageMargins left="0.75" right="0.75" top="1" bottom="1" header="0.5" footer="0.5"/>
  <headerFooter alignWithMargins="0"/>
  <drawing r:id="rId1"/>
</chartsheet>
</file>

<file path=xl/chartsheets/sheet3.xml><?xml version="1.0" encoding="utf-8"?>
<chartsheet xmlns="http://schemas.openxmlformats.org/spreadsheetml/2006/main" xmlns:r="http://schemas.openxmlformats.org/officeDocument/2006/relationships">
  <sheetPr codeName="Chart51"/>
  <sheetViews>
    <sheetView zoomScale="91" workbookViewId="0"/>
  </sheetViews>
  <sheetProtection content="1" objects="1"/>
  <pageMargins left="0.75" right="0.75" top="1" bottom="1" header="0.5" footer="0.5"/>
  <headerFooter alignWithMargins="0"/>
  <drawing r:id="rId1"/>
</chartsheet>
</file>

<file path=xl/chartsheets/sheet4.xml><?xml version="1.0" encoding="utf-8"?>
<chartsheet xmlns="http://schemas.openxmlformats.org/spreadsheetml/2006/main" xmlns:r="http://schemas.openxmlformats.org/officeDocument/2006/relationships">
  <sheetPr codeName="Chart7"/>
  <sheetViews>
    <sheetView zoomScale="91" workbookViewId="0"/>
  </sheetViews>
  <sheetProtection content="1" objects="1"/>
  <pageMargins left="0.75" right="0.75" top="1" bottom="1" header="0.5" footer="0.5"/>
  <headerFooter alignWithMargins="0"/>
  <drawing r:id="rId1"/>
</chartsheet>
</file>

<file path=xl/chartsheets/sheet5.xml><?xml version="1.0" encoding="utf-8"?>
<chartsheet xmlns="http://schemas.openxmlformats.org/spreadsheetml/2006/main" xmlns:r="http://schemas.openxmlformats.org/officeDocument/2006/relationships">
  <sheetPr codeName="Chart9"/>
  <sheetViews>
    <sheetView zoomScale="91" workbookViewId="0"/>
  </sheetViews>
  <sheetProtection content="1" objects="1"/>
  <pageMargins left="0.75" right="0.75" top="1" bottom="1" header="0.5" footer="0.5"/>
  <headerFooter alignWithMargins="0"/>
  <drawing r:id="rId1"/>
</chartsheet>
</file>

<file path=xl/chartsheets/sheet6.xml><?xml version="1.0" encoding="utf-8"?>
<chartsheet xmlns="http://schemas.openxmlformats.org/spreadsheetml/2006/main" xmlns:r="http://schemas.openxmlformats.org/officeDocument/2006/relationships">
  <sheetPr codeName="Chart10"/>
  <sheetViews>
    <sheetView zoomScale="91" workbookViewId="0"/>
  </sheetViews>
  <sheetProtection content="1" objects="1"/>
  <pageMargins left="0.75" right="0.75" top="1" bottom="1" header="0.5" footer="0.5"/>
  <headerFooter alignWithMargins="0"/>
  <drawing r:id="rId1"/>
</chartsheet>
</file>

<file path=xl/drawings/_rels/drawing10.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3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image" Target="../media/image33.jpeg"/><Relationship Id="rId1" Type="http://schemas.openxmlformats.org/officeDocument/2006/relationships/image" Target="../media/image32.jpe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30.emf"/><Relationship Id="rId3" Type="http://schemas.openxmlformats.org/officeDocument/2006/relationships/image" Target="../media/image2.emf"/><Relationship Id="rId7" Type="http://schemas.openxmlformats.org/officeDocument/2006/relationships/image" Target="../media/image5.emf"/><Relationship Id="rId12" Type="http://schemas.openxmlformats.org/officeDocument/2006/relationships/image" Target="../media/image31.emf"/><Relationship Id="rId2" Type="http://schemas.openxmlformats.org/officeDocument/2006/relationships/image" Target="../media/image28.emf"/><Relationship Id="rId1" Type="http://schemas.openxmlformats.org/officeDocument/2006/relationships/image" Target="../media/image1.emf"/><Relationship Id="rId6" Type="http://schemas.openxmlformats.org/officeDocument/2006/relationships/image" Target="../media/image29.emf"/><Relationship Id="rId11" Type="http://schemas.openxmlformats.org/officeDocument/2006/relationships/image" Target="../media/image8.emf"/><Relationship Id="rId5" Type="http://schemas.openxmlformats.org/officeDocument/2006/relationships/image" Target="../media/image4.emf"/><Relationship Id="rId10" Type="http://schemas.openxmlformats.org/officeDocument/2006/relationships/image" Target="../media/image7.emf"/><Relationship Id="rId4" Type="http://schemas.openxmlformats.org/officeDocument/2006/relationships/image" Target="../media/image3.emf"/><Relationship Id="rId9"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oneCellAnchor>
    <xdr:from>
      <xdr:col>0</xdr:col>
      <xdr:colOff>0</xdr:colOff>
      <xdr:row>26</xdr:row>
      <xdr:rowOff>110755</xdr:rowOff>
    </xdr:from>
    <xdr:ext cx="9798125" cy="3620019"/>
    <xdr:sp macro="" textlink="">
      <xdr:nvSpPr>
        <xdr:cNvPr id="2" name="Rectangle 1"/>
        <xdr:cNvSpPr/>
      </xdr:nvSpPr>
      <xdr:spPr>
        <a:xfrm rot="18952821">
          <a:off x="0" y="4430232"/>
          <a:ext cx="9798125" cy="3620019"/>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n-US" sz="20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SAMPLE</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18</xdr:col>
      <xdr:colOff>19050</xdr:colOff>
      <xdr:row>52</xdr:row>
      <xdr:rowOff>76200</xdr:rowOff>
    </xdr:to>
    <xdr:pic>
      <xdr:nvPicPr>
        <xdr:cNvPr id="151993" name="Picture 1" descr="b table.jpg"/>
        <xdr:cNvPicPr>
          <a:picLocks noChangeAspect="1"/>
        </xdr:cNvPicPr>
      </xdr:nvPicPr>
      <xdr:blipFill>
        <a:blip xmlns:r="http://schemas.openxmlformats.org/officeDocument/2006/relationships" r:embed="rId1" cstate="print"/>
        <a:srcRect/>
        <a:stretch>
          <a:fillRect/>
        </a:stretch>
      </xdr:blipFill>
      <xdr:spPr bwMode="auto">
        <a:xfrm>
          <a:off x="0" y="485775"/>
          <a:ext cx="10991850" cy="8010525"/>
        </a:xfrm>
        <a:prstGeom prst="rect">
          <a:avLst/>
        </a:prstGeom>
        <a:noFill/>
        <a:ln w="9525">
          <a:noFill/>
          <a:miter lim="800000"/>
          <a:headEnd/>
          <a:tailEnd/>
        </a:ln>
      </xdr:spPr>
    </xdr:pic>
    <xdr:clientData/>
  </xdr:twoCellAnchor>
  <xdr:twoCellAnchor editAs="oneCell">
    <xdr:from>
      <xdr:col>18</xdr:col>
      <xdr:colOff>0</xdr:colOff>
      <xdr:row>3</xdr:row>
      <xdr:rowOff>0</xdr:rowOff>
    </xdr:from>
    <xdr:to>
      <xdr:col>36</xdr:col>
      <xdr:colOff>552450</xdr:colOff>
      <xdr:row>52</xdr:row>
      <xdr:rowOff>95250</xdr:rowOff>
    </xdr:to>
    <xdr:pic>
      <xdr:nvPicPr>
        <xdr:cNvPr id="151994" name="Picture 2" descr="b table.jpg"/>
        <xdr:cNvPicPr>
          <a:picLocks noChangeAspect="1"/>
        </xdr:cNvPicPr>
      </xdr:nvPicPr>
      <xdr:blipFill>
        <a:blip xmlns:r="http://schemas.openxmlformats.org/officeDocument/2006/relationships" r:embed="rId2" cstate="print"/>
        <a:srcRect/>
        <a:stretch>
          <a:fillRect/>
        </a:stretch>
      </xdr:blipFill>
      <xdr:spPr bwMode="auto">
        <a:xfrm>
          <a:off x="10972800" y="485775"/>
          <a:ext cx="11525250" cy="802957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47625</xdr:colOff>
      <xdr:row>46</xdr:row>
      <xdr:rowOff>28575</xdr:rowOff>
    </xdr:to>
    <xdr:pic>
      <xdr:nvPicPr>
        <xdr:cNvPr id="153820" name="Picture 1" descr="b table.jpg"/>
        <xdr:cNvPicPr>
          <a:picLocks noChangeAspect="1"/>
        </xdr:cNvPicPr>
      </xdr:nvPicPr>
      <xdr:blipFill>
        <a:blip xmlns:r="http://schemas.openxmlformats.org/officeDocument/2006/relationships" r:embed="rId1" cstate="print"/>
        <a:srcRect/>
        <a:stretch>
          <a:fillRect/>
        </a:stretch>
      </xdr:blipFill>
      <xdr:spPr bwMode="auto">
        <a:xfrm>
          <a:off x="0" y="0"/>
          <a:ext cx="13458825" cy="74771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twoCellAnchor>
    <xdr:from>
      <xdr:col>3</xdr:col>
      <xdr:colOff>123825</xdr:colOff>
      <xdr:row>9</xdr:row>
      <xdr:rowOff>95250</xdr:rowOff>
    </xdr:from>
    <xdr:to>
      <xdr:col>13</xdr:col>
      <xdr:colOff>400050</xdr:colOff>
      <xdr:row>31</xdr:row>
      <xdr:rowOff>28575</xdr:rowOff>
    </xdr:to>
    <xdr:graphicFrame macro="">
      <xdr:nvGraphicFramePr>
        <xdr:cNvPr id="34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9525</xdr:rowOff>
    </xdr:from>
    <xdr:to>
      <xdr:col>16</xdr:col>
      <xdr:colOff>409575</xdr:colOff>
      <xdr:row>47</xdr:row>
      <xdr:rowOff>9525</xdr:rowOff>
    </xdr:to>
    <xdr:pic>
      <xdr:nvPicPr>
        <xdr:cNvPr id="146883" name="Picture 1" descr="Basic Orifice Factor.jpg"/>
        <xdr:cNvPicPr>
          <a:picLocks noChangeAspect="1"/>
        </xdr:cNvPicPr>
      </xdr:nvPicPr>
      <xdr:blipFill>
        <a:blip xmlns:r="http://schemas.openxmlformats.org/officeDocument/2006/relationships" r:embed="rId1" cstate="print"/>
        <a:srcRect/>
        <a:stretch>
          <a:fillRect/>
        </a:stretch>
      </xdr:blipFill>
      <xdr:spPr bwMode="auto">
        <a:xfrm>
          <a:off x="0" y="495300"/>
          <a:ext cx="10163175" cy="7124700"/>
        </a:xfrm>
        <a:prstGeom prst="rect">
          <a:avLst/>
        </a:prstGeom>
        <a:noFill/>
        <a:ln w="9525">
          <a:noFill/>
          <a:miter lim="800000"/>
          <a:headEnd/>
          <a:tailEnd/>
        </a:ln>
      </xdr:spPr>
    </xdr:pic>
    <xdr:clientData/>
  </xdr:twoCellAnchor>
  <xdr:twoCellAnchor editAs="oneCell">
    <xdr:from>
      <xdr:col>16</xdr:col>
      <xdr:colOff>400050</xdr:colOff>
      <xdr:row>3</xdr:row>
      <xdr:rowOff>9525</xdr:rowOff>
    </xdr:from>
    <xdr:to>
      <xdr:col>33</xdr:col>
      <xdr:colOff>19050</xdr:colOff>
      <xdr:row>46</xdr:row>
      <xdr:rowOff>152400</xdr:rowOff>
    </xdr:to>
    <xdr:pic>
      <xdr:nvPicPr>
        <xdr:cNvPr id="146884" name="Picture 2" descr="Basic Orifice Factor.jpg"/>
        <xdr:cNvPicPr>
          <a:picLocks noChangeAspect="1"/>
        </xdr:cNvPicPr>
      </xdr:nvPicPr>
      <xdr:blipFill>
        <a:blip xmlns:r="http://schemas.openxmlformats.org/officeDocument/2006/relationships" r:embed="rId2" cstate="print"/>
        <a:srcRect/>
        <a:stretch>
          <a:fillRect/>
        </a:stretch>
      </xdr:blipFill>
      <xdr:spPr bwMode="auto">
        <a:xfrm>
          <a:off x="10153650" y="495300"/>
          <a:ext cx="9982200" cy="71056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oleObject" Target="../embeddings/oleObject10.bin"/><Relationship Id="rId18" Type="http://schemas.openxmlformats.org/officeDocument/2006/relationships/oleObject" Target="../embeddings/oleObject15.bin"/><Relationship Id="rId26" Type="http://schemas.openxmlformats.org/officeDocument/2006/relationships/oleObject" Target="../embeddings/oleObject23.bin"/><Relationship Id="rId3" Type="http://schemas.openxmlformats.org/officeDocument/2006/relationships/vmlDrawing" Target="../drawings/vmlDrawing1.vml"/><Relationship Id="rId21" Type="http://schemas.openxmlformats.org/officeDocument/2006/relationships/oleObject" Target="../embeddings/oleObject18.bin"/><Relationship Id="rId7" Type="http://schemas.openxmlformats.org/officeDocument/2006/relationships/oleObject" Target="../embeddings/oleObject4.bin"/><Relationship Id="rId12" Type="http://schemas.openxmlformats.org/officeDocument/2006/relationships/oleObject" Target="../embeddings/oleObject9.bin"/><Relationship Id="rId17" Type="http://schemas.openxmlformats.org/officeDocument/2006/relationships/oleObject" Target="../embeddings/oleObject14.bin"/><Relationship Id="rId25" Type="http://schemas.openxmlformats.org/officeDocument/2006/relationships/oleObject" Target="../embeddings/oleObject22.bin"/><Relationship Id="rId2" Type="http://schemas.openxmlformats.org/officeDocument/2006/relationships/drawing" Target="../drawings/drawing1.xml"/><Relationship Id="rId16" Type="http://schemas.openxmlformats.org/officeDocument/2006/relationships/oleObject" Target="../embeddings/oleObject13.bin"/><Relationship Id="rId20" Type="http://schemas.openxmlformats.org/officeDocument/2006/relationships/oleObject" Target="../embeddings/oleObject17.bin"/><Relationship Id="rId29" Type="http://schemas.openxmlformats.org/officeDocument/2006/relationships/oleObject" Target="../embeddings/oleObject26.bin"/><Relationship Id="rId1" Type="http://schemas.openxmlformats.org/officeDocument/2006/relationships/printerSettings" Target="../printerSettings/printerSettings1.bin"/><Relationship Id="rId6" Type="http://schemas.openxmlformats.org/officeDocument/2006/relationships/oleObject" Target="../embeddings/oleObject3.bin"/><Relationship Id="rId11" Type="http://schemas.openxmlformats.org/officeDocument/2006/relationships/oleObject" Target="../embeddings/oleObject8.bin"/><Relationship Id="rId24" Type="http://schemas.openxmlformats.org/officeDocument/2006/relationships/oleObject" Target="../embeddings/oleObject21.bin"/><Relationship Id="rId5" Type="http://schemas.openxmlformats.org/officeDocument/2006/relationships/oleObject" Target="../embeddings/oleObject2.bin"/><Relationship Id="rId15" Type="http://schemas.openxmlformats.org/officeDocument/2006/relationships/oleObject" Target="../embeddings/oleObject12.bin"/><Relationship Id="rId23" Type="http://schemas.openxmlformats.org/officeDocument/2006/relationships/oleObject" Target="../embeddings/oleObject20.bin"/><Relationship Id="rId28" Type="http://schemas.openxmlformats.org/officeDocument/2006/relationships/oleObject" Target="../embeddings/oleObject25.bin"/><Relationship Id="rId10" Type="http://schemas.openxmlformats.org/officeDocument/2006/relationships/oleObject" Target="../embeddings/oleObject7.bin"/><Relationship Id="rId19" Type="http://schemas.openxmlformats.org/officeDocument/2006/relationships/oleObject" Target="../embeddings/oleObject16.bin"/><Relationship Id="rId31" Type="http://schemas.openxmlformats.org/officeDocument/2006/relationships/comments" Target="../comments1.xml"/><Relationship Id="rId4" Type="http://schemas.openxmlformats.org/officeDocument/2006/relationships/oleObject" Target="../embeddings/oleObject1.bin"/><Relationship Id="rId9" Type="http://schemas.openxmlformats.org/officeDocument/2006/relationships/oleObject" Target="../embeddings/oleObject6.bin"/><Relationship Id="rId14" Type="http://schemas.openxmlformats.org/officeDocument/2006/relationships/oleObject" Target="../embeddings/oleObject11.bin"/><Relationship Id="rId22" Type="http://schemas.openxmlformats.org/officeDocument/2006/relationships/oleObject" Target="../embeddings/oleObject19.bin"/><Relationship Id="rId27" Type="http://schemas.openxmlformats.org/officeDocument/2006/relationships/oleObject" Target="../embeddings/oleObject24.bin"/><Relationship Id="rId30" Type="http://schemas.openxmlformats.org/officeDocument/2006/relationships/oleObject" Target="../embeddings/oleObject27.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33.bin"/><Relationship Id="rId13" Type="http://schemas.openxmlformats.org/officeDocument/2006/relationships/oleObject" Target="../embeddings/oleObject38.bin"/><Relationship Id="rId3" Type="http://schemas.openxmlformats.org/officeDocument/2006/relationships/oleObject" Target="../embeddings/oleObject28.bin"/><Relationship Id="rId7" Type="http://schemas.openxmlformats.org/officeDocument/2006/relationships/oleObject" Target="../embeddings/oleObject32.bin"/><Relationship Id="rId12" Type="http://schemas.openxmlformats.org/officeDocument/2006/relationships/oleObject" Target="../embeddings/oleObject37.bin"/><Relationship Id="rId2" Type="http://schemas.openxmlformats.org/officeDocument/2006/relationships/vmlDrawing" Target="../drawings/vmlDrawing3.vml"/><Relationship Id="rId1" Type="http://schemas.openxmlformats.org/officeDocument/2006/relationships/printerSettings" Target="../printerSettings/printerSettings3.bin"/><Relationship Id="rId6" Type="http://schemas.openxmlformats.org/officeDocument/2006/relationships/oleObject" Target="../embeddings/oleObject31.bin"/><Relationship Id="rId11" Type="http://schemas.openxmlformats.org/officeDocument/2006/relationships/oleObject" Target="../embeddings/oleObject36.bin"/><Relationship Id="rId5" Type="http://schemas.openxmlformats.org/officeDocument/2006/relationships/oleObject" Target="../embeddings/oleObject30.bin"/><Relationship Id="rId15" Type="http://schemas.openxmlformats.org/officeDocument/2006/relationships/comments" Target="../comments3.xml"/><Relationship Id="rId10" Type="http://schemas.openxmlformats.org/officeDocument/2006/relationships/oleObject" Target="../embeddings/oleObject35.bin"/><Relationship Id="rId4" Type="http://schemas.openxmlformats.org/officeDocument/2006/relationships/oleObject" Target="../embeddings/oleObject29.bin"/><Relationship Id="rId9" Type="http://schemas.openxmlformats.org/officeDocument/2006/relationships/oleObject" Target="../embeddings/oleObject34.bin"/><Relationship Id="rId14" Type="http://schemas.openxmlformats.org/officeDocument/2006/relationships/oleObject" Target="../embeddings/oleObject39.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sheetPr codeName="Sheet1"/>
  <dimension ref="A1:CA108"/>
  <sheetViews>
    <sheetView tabSelected="1" zoomScale="86" zoomScaleNormal="86" workbookViewId="0">
      <selection activeCell="BT5" sqref="BT5"/>
    </sheetView>
  </sheetViews>
  <sheetFormatPr defaultRowHeight="12.75" outlineLevelRow="1" outlineLevelCol="1"/>
  <cols>
    <col min="1" max="1" width="9.140625" style="168"/>
    <col min="2" max="2" width="7.28515625" style="168" customWidth="1"/>
    <col min="3" max="3" width="27.7109375" style="168" customWidth="1"/>
    <col min="4" max="4" width="4.7109375" style="168" hidden="1" customWidth="1" outlineLevel="1"/>
    <col min="5" max="6" width="3.7109375" style="168" hidden="1" customWidth="1" outlineLevel="1"/>
    <col min="7" max="7" width="10.7109375" style="168" hidden="1" customWidth="1" outlineLevel="1"/>
    <col min="8" max="8" width="3.7109375" style="168" hidden="1" customWidth="1" outlineLevel="1"/>
    <col min="9" max="9" width="4" style="168" hidden="1" customWidth="1" outlineLevel="1"/>
    <col min="10" max="11" width="4.42578125" style="168" hidden="1" customWidth="1" outlineLevel="1"/>
    <col min="12" max="12" width="10.28515625" style="168" hidden="1" customWidth="1" outlineLevel="1"/>
    <col min="13" max="13" width="3.7109375" style="168" hidden="1" customWidth="1" outlineLevel="1"/>
    <col min="14" max="16" width="4.42578125" style="168" hidden="1" customWidth="1" outlineLevel="1"/>
    <col min="17" max="17" width="9.140625" style="168" hidden="1" customWidth="1" outlineLevel="1"/>
    <col min="18" max="18" width="3.7109375" style="168" hidden="1" customWidth="1" outlineLevel="1"/>
    <col min="19" max="21" width="4.42578125" style="168" hidden="1" customWidth="1" outlineLevel="1"/>
    <col min="22" max="22" width="9.5703125" style="168" hidden="1" customWidth="1" outlineLevel="1"/>
    <col min="23" max="23" width="3.7109375" style="168" hidden="1" customWidth="1" outlineLevel="1"/>
    <col min="24" max="25" width="4.42578125" style="168" hidden="1" customWidth="1" outlineLevel="1"/>
    <col min="26" max="26" width="4" style="168" hidden="1" customWidth="1" outlineLevel="1"/>
    <col min="27" max="27" width="9.5703125" style="168" hidden="1" customWidth="1" outlineLevel="1"/>
    <col min="28" max="28" width="3.7109375" style="168" hidden="1" customWidth="1" outlineLevel="1"/>
    <col min="29" max="30" width="4.42578125" style="168" hidden="1" customWidth="1" outlineLevel="1"/>
    <col min="31" max="31" width="4" style="168" hidden="1" customWidth="1" outlineLevel="1"/>
    <col min="32" max="32" width="9.5703125" style="168" hidden="1" customWidth="1" outlineLevel="1"/>
    <col min="33" max="33" width="3.7109375" style="168" hidden="1" customWidth="1" outlineLevel="1"/>
    <col min="34" max="35" width="4.42578125" style="168" hidden="1" customWidth="1" outlineLevel="1"/>
    <col min="36" max="36" width="4" style="168" hidden="1" customWidth="1" outlineLevel="1"/>
    <col min="37" max="37" width="9.5703125" style="168" hidden="1" customWidth="1" outlineLevel="1"/>
    <col min="38" max="38" width="3.7109375" style="168" hidden="1" customWidth="1" outlineLevel="1"/>
    <col min="39" max="39" width="10.5703125" style="168" hidden="1" customWidth="1" outlineLevel="1"/>
    <col min="40" max="40" width="3.7109375" style="168" hidden="1" customWidth="1" outlineLevel="1"/>
    <col min="41" max="41" width="11.42578125" style="168" hidden="1" customWidth="1" outlineLevel="1"/>
    <col min="42" max="42" width="3.7109375" style="168" hidden="1" customWidth="1" outlineLevel="1"/>
    <col min="43" max="43" width="11" style="168" hidden="1" customWidth="1" outlineLevel="1"/>
    <col min="44" max="44" width="3.7109375" style="168" hidden="1" customWidth="1" outlineLevel="1"/>
    <col min="45" max="45" width="11.85546875" style="168" hidden="1" customWidth="1" outlineLevel="1"/>
    <col min="46" max="46" width="3.7109375" style="168" hidden="1" customWidth="1" outlineLevel="1"/>
    <col min="47" max="47" width="11.42578125" style="168" hidden="1" customWidth="1" outlineLevel="1"/>
    <col min="48" max="48" width="3.7109375" style="168" hidden="1" customWidth="1" outlineLevel="1"/>
    <col min="49" max="49" width="12.85546875" style="168" hidden="1" customWidth="1" outlineLevel="1"/>
    <col min="50" max="50" width="3.7109375" style="168" hidden="1" customWidth="1" outlineLevel="1"/>
    <col min="51" max="51" width="12.140625" style="168" hidden="1" customWidth="1" outlineLevel="1"/>
    <col min="52" max="52" width="3.7109375" style="168" hidden="1" customWidth="1" outlineLevel="1"/>
    <col min="53" max="53" width="12.140625" style="168" hidden="1" customWidth="1" outlineLevel="1"/>
    <col min="54" max="54" width="3.7109375" style="168" hidden="1" customWidth="1" outlineLevel="1"/>
    <col min="55" max="55" width="12.28515625" style="168" hidden="1" customWidth="1" outlineLevel="1"/>
    <col min="56" max="56" width="3.7109375" style="168" hidden="1" customWidth="1" outlineLevel="1"/>
    <col min="57" max="58" width="12.28515625" style="168" hidden="1" customWidth="1" outlineLevel="1"/>
    <col min="59" max="59" width="3.7109375" style="168" hidden="1" customWidth="1" outlineLevel="1"/>
    <col min="60" max="60" width="14.42578125" style="168" hidden="1" customWidth="1" outlineLevel="1"/>
    <col min="61" max="61" width="3.7109375" style="168" hidden="1" customWidth="1" outlineLevel="1"/>
    <col min="62" max="62" width="14.42578125" style="168" hidden="1" customWidth="1" outlineLevel="1"/>
    <col min="63" max="63" width="3.7109375" style="168" hidden="1" customWidth="1" outlineLevel="1"/>
    <col min="64" max="64" width="14.42578125" style="168" hidden="1" customWidth="1" outlineLevel="1"/>
    <col min="65" max="65" width="3.7109375" style="168" hidden="1" customWidth="1" outlineLevel="1"/>
    <col min="66" max="66" width="14.42578125" style="168" hidden="1" customWidth="1" outlineLevel="1"/>
    <col min="67" max="67" width="3.7109375" style="168" hidden="1" customWidth="1" outlineLevel="1"/>
    <col min="68" max="68" width="14.42578125" style="168" hidden="1" customWidth="1" outlineLevel="1"/>
    <col min="69" max="69" width="3.7109375" style="168" hidden="1" customWidth="1" outlineLevel="1"/>
    <col min="70" max="70" width="14.42578125" style="168" hidden="1" customWidth="1" outlineLevel="1"/>
    <col min="71" max="71" width="8.7109375" style="169" customWidth="1" collapsed="1"/>
    <col min="72" max="72" width="16.85546875" style="168" customWidth="1"/>
    <col min="73" max="73" width="9.140625" style="168"/>
    <col min="74" max="74" width="9.140625" style="168" customWidth="1"/>
    <col min="75" max="16384" width="9.140625" style="168"/>
  </cols>
  <sheetData>
    <row r="1" spans="1:79" s="168" customFormat="1">
      <c r="A1" s="167" t="s">
        <v>247</v>
      </c>
      <c r="BJ1" s="168" t="s">
        <v>416</v>
      </c>
      <c r="BL1" s="168" t="s">
        <v>416</v>
      </c>
      <c r="BN1" s="168" t="s">
        <v>417</v>
      </c>
      <c r="BP1" s="168" t="s">
        <v>417</v>
      </c>
      <c r="BS1" s="169"/>
      <c r="BT1" s="170"/>
      <c r="BV1" s="171" t="s">
        <v>294</v>
      </c>
    </row>
    <row r="2" spans="1:79" s="168" customFormat="1">
      <c r="A2" s="167"/>
      <c r="AO2" s="172" t="s">
        <v>389</v>
      </c>
      <c r="BF2" s="172" t="s">
        <v>390</v>
      </c>
      <c r="BH2" s="172" t="s">
        <v>390</v>
      </c>
      <c r="BJ2" s="172" t="s">
        <v>412</v>
      </c>
      <c r="BL2" s="172" t="s">
        <v>412</v>
      </c>
      <c r="BN2" s="172" t="s">
        <v>415</v>
      </c>
      <c r="BP2" s="172" t="s">
        <v>415</v>
      </c>
      <c r="BR2" s="172"/>
      <c r="BS2" s="169"/>
      <c r="BV2" s="171" t="s">
        <v>295</v>
      </c>
    </row>
    <row r="3" spans="1:79" s="168" customFormat="1">
      <c r="A3" s="171" t="s">
        <v>244</v>
      </c>
      <c r="AM3" s="168" t="s">
        <v>104</v>
      </c>
      <c r="AO3" s="172" t="s">
        <v>391</v>
      </c>
      <c r="AQ3" s="172" t="s">
        <v>391</v>
      </c>
      <c r="AS3" s="172" t="s">
        <v>391</v>
      </c>
      <c r="AU3" s="172" t="s">
        <v>391</v>
      </c>
      <c r="AW3" s="172" t="s">
        <v>391</v>
      </c>
      <c r="AY3" s="172" t="s">
        <v>392</v>
      </c>
      <c r="BA3" s="172" t="s">
        <v>392</v>
      </c>
      <c r="BC3" s="172" t="s">
        <v>392</v>
      </c>
      <c r="BE3" s="172" t="s">
        <v>392</v>
      </c>
      <c r="BF3" s="172" t="s">
        <v>392</v>
      </c>
      <c r="BH3" s="172" t="s">
        <v>393</v>
      </c>
      <c r="BJ3" s="172" t="s">
        <v>413</v>
      </c>
      <c r="BL3" s="172" t="s">
        <v>413</v>
      </c>
      <c r="BN3" s="172" t="s">
        <v>413</v>
      </c>
      <c r="BP3" s="172" t="s">
        <v>413</v>
      </c>
      <c r="BR3" s="173" t="s">
        <v>180</v>
      </c>
      <c r="BS3" s="169"/>
      <c r="BT3" s="174"/>
      <c r="BV3" s="171" t="s">
        <v>296</v>
      </c>
    </row>
    <row r="4" spans="1:79" s="168" customFormat="1">
      <c r="A4" s="167"/>
      <c r="D4" s="175" t="s">
        <v>224</v>
      </c>
      <c r="E4" s="176"/>
      <c r="F4" s="177"/>
      <c r="G4" s="178" t="s">
        <v>225</v>
      </c>
      <c r="H4" s="179"/>
      <c r="I4" s="175" t="s">
        <v>194</v>
      </c>
      <c r="J4" s="176"/>
      <c r="K4" s="179"/>
      <c r="L4" s="178" t="s">
        <v>226</v>
      </c>
      <c r="M4" s="179"/>
      <c r="N4" s="175" t="s">
        <v>227</v>
      </c>
      <c r="O4" s="176"/>
      <c r="P4" s="179"/>
      <c r="Q4" s="178" t="s">
        <v>228</v>
      </c>
      <c r="R4" s="179"/>
      <c r="S4" s="175" t="s">
        <v>229</v>
      </c>
      <c r="T4" s="176"/>
      <c r="U4" s="179"/>
      <c r="V4" s="178" t="s">
        <v>230</v>
      </c>
      <c r="W4" s="179"/>
      <c r="X4" s="175" t="s">
        <v>231</v>
      </c>
      <c r="Y4" s="176"/>
      <c r="AA4" s="178" t="s">
        <v>232</v>
      </c>
      <c r="AB4" s="179"/>
      <c r="AC4" s="175" t="s">
        <v>165</v>
      </c>
      <c r="AD4" s="176"/>
      <c r="AF4" s="178" t="s">
        <v>233</v>
      </c>
      <c r="AG4" s="179"/>
      <c r="AH4" s="175" t="s">
        <v>176</v>
      </c>
      <c r="AI4" s="176"/>
      <c r="AK4" s="178" t="s">
        <v>234</v>
      </c>
      <c r="AL4" s="179"/>
      <c r="AM4" s="168" t="s">
        <v>235</v>
      </c>
      <c r="AO4" s="172" t="s">
        <v>212</v>
      </c>
      <c r="AQ4" s="172" t="s">
        <v>394</v>
      </c>
      <c r="AS4" s="172" t="s">
        <v>395</v>
      </c>
      <c r="AU4" s="172" t="s">
        <v>396</v>
      </c>
      <c r="AW4" s="172" t="s">
        <v>397</v>
      </c>
      <c r="AY4" s="172" t="s">
        <v>398</v>
      </c>
      <c r="BA4" s="172" t="s">
        <v>409</v>
      </c>
      <c r="BC4" s="172" t="s">
        <v>399</v>
      </c>
      <c r="BE4" s="172" t="s">
        <v>410</v>
      </c>
      <c r="BF4" s="172" t="s">
        <v>400</v>
      </c>
      <c r="BH4" s="172" t="s">
        <v>400</v>
      </c>
      <c r="BJ4" s="172" t="s">
        <v>414</v>
      </c>
      <c r="BL4" s="172" t="s">
        <v>211</v>
      </c>
      <c r="BN4" s="172" t="s">
        <v>414</v>
      </c>
      <c r="BP4" s="172" t="s">
        <v>211</v>
      </c>
      <c r="BR4" s="173" t="s">
        <v>178</v>
      </c>
      <c r="BS4" s="169"/>
      <c r="BT4" s="179" t="s">
        <v>236</v>
      </c>
      <c r="BV4" s="171" t="s">
        <v>312</v>
      </c>
      <c r="CA4" s="180"/>
    </row>
    <row r="5" spans="1:79" s="168" customFormat="1">
      <c r="A5" s="168" t="s">
        <v>105</v>
      </c>
      <c r="D5" s="169" t="s">
        <v>135</v>
      </c>
      <c r="E5" s="168">
        <v>1</v>
      </c>
      <c r="G5" s="181">
        <v>12.010999999999999</v>
      </c>
      <c r="I5" s="169" t="s">
        <v>136</v>
      </c>
      <c r="J5" s="168">
        <v>4</v>
      </c>
      <c r="L5" s="181">
        <v>1.0079400000000001</v>
      </c>
      <c r="N5" s="168" t="s">
        <v>137</v>
      </c>
      <c r="O5" s="168">
        <v>0</v>
      </c>
      <c r="Q5" s="181">
        <v>15.9994</v>
      </c>
      <c r="S5" s="168" t="s">
        <v>138</v>
      </c>
      <c r="T5" s="168">
        <v>0</v>
      </c>
      <c r="V5" s="181">
        <v>32.066000000000003</v>
      </c>
      <c r="X5" s="168" t="s">
        <v>139</v>
      </c>
      <c r="Y5" s="168">
        <v>0</v>
      </c>
      <c r="AA5" s="181">
        <v>14.006740000000001</v>
      </c>
      <c r="AC5" s="168" t="s">
        <v>140</v>
      </c>
      <c r="AD5" s="168">
        <v>0</v>
      </c>
      <c r="AF5" s="181">
        <v>4.0026020000000004</v>
      </c>
      <c r="AH5" s="168" t="s">
        <v>141</v>
      </c>
      <c r="AI5" s="168">
        <v>0</v>
      </c>
      <c r="AK5" s="181">
        <v>39.948</v>
      </c>
      <c r="AM5" s="181">
        <f>E5*G5+J5*L5+O5*Q5+T5*V5+Y5*AA5+AD5*AF5+AI5*AK5</f>
        <v>16.042760000000001</v>
      </c>
      <c r="AO5" s="168">
        <v>667</v>
      </c>
      <c r="AQ5" s="182">
        <f t="shared" ref="AQ5:AQ25" si="0">AO5*BT5</f>
        <v>64124.846400000002</v>
      </c>
      <c r="AS5" s="168">
        <v>-116.66</v>
      </c>
      <c r="AU5" s="168">
        <f>AS5+459.67</f>
        <v>343.01</v>
      </c>
      <c r="AW5" s="182">
        <f t="shared" ref="AW5:AW25" si="1">AU5*BT5</f>
        <v>32976.706991999999</v>
      </c>
      <c r="AY5" s="183">
        <v>0.53200000000000003</v>
      </c>
      <c r="BA5" s="183">
        <f>AY5*BT5</f>
        <v>51.146054400000004</v>
      </c>
      <c r="BC5" s="183">
        <v>0.40300000000000002</v>
      </c>
      <c r="BE5" s="183">
        <f>BC5*BT5</f>
        <v>38.744097600000003</v>
      </c>
      <c r="BF5" s="183">
        <f>AY5/BC5</f>
        <v>1.3200992555831266</v>
      </c>
      <c r="BH5" s="183">
        <f t="shared" ref="BH5:BH25" si="2">BF5*BT5/100</f>
        <v>1.2691328635235732</v>
      </c>
      <c r="BJ5" s="183">
        <v>1010</v>
      </c>
      <c r="BL5" s="183">
        <f>BJ5*BT5/100</f>
        <v>971.00592000000006</v>
      </c>
      <c r="BN5" s="183">
        <v>909.4</v>
      </c>
      <c r="BP5" s="183">
        <f>BN5*BT5/100</f>
        <v>874.28988479999998</v>
      </c>
      <c r="BR5" s="181">
        <f t="shared" ref="BR5:BR25" si="3">AM5*BT5</f>
        <v>1542.3381121920002</v>
      </c>
      <c r="BS5" s="184" t="s">
        <v>433</v>
      </c>
      <c r="BT5" s="185">
        <v>96.139200000000002</v>
      </c>
      <c r="BU5" s="168" t="s">
        <v>236</v>
      </c>
    </row>
    <row r="6" spans="1:79" s="168" customFormat="1">
      <c r="A6" s="168" t="s">
        <v>106</v>
      </c>
      <c r="D6" s="169" t="s">
        <v>135</v>
      </c>
      <c r="E6" s="168">
        <v>2</v>
      </c>
      <c r="G6" s="181">
        <f>G5</f>
        <v>12.010999999999999</v>
      </c>
      <c r="I6" s="169" t="s">
        <v>136</v>
      </c>
      <c r="J6" s="168">
        <v>6</v>
      </c>
      <c r="L6" s="181">
        <f>L5</f>
        <v>1.0079400000000001</v>
      </c>
      <c r="N6" s="168" t="s">
        <v>137</v>
      </c>
      <c r="O6" s="168">
        <v>0</v>
      </c>
      <c r="Q6" s="181">
        <f>Q5</f>
        <v>15.9994</v>
      </c>
      <c r="S6" s="168" t="s">
        <v>138</v>
      </c>
      <c r="T6" s="168">
        <v>0</v>
      </c>
      <c r="V6" s="181">
        <f>V5</f>
        <v>32.066000000000003</v>
      </c>
      <c r="X6" s="168" t="s">
        <v>139</v>
      </c>
      <c r="Y6" s="168">
        <v>0</v>
      </c>
      <c r="AA6" s="181">
        <f>AA5</f>
        <v>14.006740000000001</v>
      </c>
      <c r="AC6" s="168" t="s">
        <v>140</v>
      </c>
      <c r="AD6" s="168">
        <v>0</v>
      </c>
      <c r="AF6" s="181">
        <f>AF5</f>
        <v>4.0026020000000004</v>
      </c>
      <c r="AH6" s="168" t="s">
        <v>141</v>
      </c>
      <c r="AI6" s="168">
        <v>0</v>
      </c>
      <c r="AK6" s="181">
        <f>AK5</f>
        <v>39.948</v>
      </c>
      <c r="AM6" s="181">
        <f t="shared" ref="AM6:AM25" si="4">E6*G6+J6*L6+O6*Q6+T6*V6+Y6*AA6+AD6*AF6+AI6*AK6</f>
        <v>30.06964</v>
      </c>
      <c r="AO6" s="168">
        <v>707.8</v>
      </c>
      <c r="AQ6" s="182">
        <f t="shared" si="0"/>
        <v>1416.23702</v>
      </c>
      <c r="AS6" s="168">
        <v>90.07</v>
      </c>
      <c r="AU6" s="168">
        <f t="shared" ref="AU6:AU25" si="5">AS6+459.67</f>
        <v>549.74</v>
      </c>
      <c r="AW6" s="182">
        <f t="shared" si="1"/>
        <v>1099.974766</v>
      </c>
      <c r="AY6" s="183">
        <v>0.42699999999999999</v>
      </c>
      <c r="BA6" s="183">
        <f t="shared" ref="BA6:BA25" si="6">AY6*BT6</f>
        <v>0.85438429999999999</v>
      </c>
      <c r="BC6" s="183">
        <v>0.36099999999999999</v>
      </c>
      <c r="BE6" s="183">
        <f t="shared" ref="BE6:BE25" si="7">BC6*BT6</f>
        <v>0.72232490000000005</v>
      </c>
      <c r="BF6" s="183">
        <f t="shared" ref="BF6:BF25" si="8">AY6/BC6</f>
        <v>1.182825484764543</v>
      </c>
      <c r="BH6" s="183">
        <f t="shared" si="2"/>
        <v>2.3667155124653741E-2</v>
      </c>
      <c r="BJ6" s="183">
        <v>1769.7</v>
      </c>
      <c r="BL6" s="183">
        <f t="shared" ref="BL6:BL25" si="9">BJ6*BT6/100</f>
        <v>35.409927300000007</v>
      </c>
      <c r="BN6" s="183">
        <v>1618.7</v>
      </c>
      <c r="BP6" s="183">
        <f t="shared" ref="BP6:BP25" si="10">BN6*BT6/100</f>
        <v>32.388568300000003</v>
      </c>
      <c r="BR6" s="181">
        <f t="shared" si="3"/>
        <v>60.166342676000006</v>
      </c>
      <c r="BS6" s="184" t="s">
        <v>434</v>
      </c>
      <c r="BT6" s="185">
        <v>2.0009000000000001</v>
      </c>
      <c r="BU6" s="168" t="s">
        <v>236</v>
      </c>
    </row>
    <row r="7" spans="1:79" s="168" customFormat="1">
      <c r="A7" s="168" t="s">
        <v>107</v>
      </c>
      <c r="D7" s="169" t="s">
        <v>135</v>
      </c>
      <c r="E7" s="168">
        <v>3</v>
      </c>
      <c r="G7" s="181">
        <f t="shared" ref="G7:G25" si="11">G6</f>
        <v>12.010999999999999</v>
      </c>
      <c r="I7" s="169" t="s">
        <v>136</v>
      </c>
      <c r="J7" s="168">
        <v>8</v>
      </c>
      <c r="L7" s="181">
        <f t="shared" ref="L7:L25" si="12">L6</f>
        <v>1.0079400000000001</v>
      </c>
      <c r="N7" s="168" t="s">
        <v>137</v>
      </c>
      <c r="O7" s="168">
        <v>0</v>
      </c>
      <c r="Q7" s="181">
        <f t="shared" ref="Q7:Q25" si="13">Q6</f>
        <v>15.9994</v>
      </c>
      <c r="S7" s="168" t="s">
        <v>138</v>
      </c>
      <c r="T7" s="168">
        <v>0</v>
      </c>
      <c r="V7" s="181">
        <f t="shared" ref="V7:V25" si="14">V6</f>
        <v>32.066000000000003</v>
      </c>
      <c r="X7" s="168" t="s">
        <v>139</v>
      </c>
      <c r="Y7" s="168">
        <v>0</v>
      </c>
      <c r="AA7" s="181">
        <f t="shared" ref="AA7:AA25" si="15">AA6</f>
        <v>14.006740000000001</v>
      </c>
      <c r="AC7" s="168" t="s">
        <v>140</v>
      </c>
      <c r="AD7" s="168">
        <v>0</v>
      </c>
      <c r="AF7" s="181">
        <f t="shared" ref="AF7:AF25" si="16">AF6</f>
        <v>4.0026020000000004</v>
      </c>
      <c r="AH7" s="168" t="s">
        <v>141</v>
      </c>
      <c r="AI7" s="168">
        <v>0</v>
      </c>
      <c r="AK7" s="181">
        <f t="shared" ref="AK7:AK25" si="17">AK6</f>
        <v>39.948</v>
      </c>
      <c r="AM7" s="181">
        <f t="shared" si="4"/>
        <v>44.096519999999998</v>
      </c>
      <c r="AO7" s="168">
        <v>615</v>
      </c>
      <c r="AQ7" s="182">
        <f t="shared" si="0"/>
        <v>260.20650000000001</v>
      </c>
      <c r="AS7" s="168">
        <v>205.92</v>
      </c>
      <c r="AU7" s="168">
        <f t="shared" si="5"/>
        <v>665.59</v>
      </c>
      <c r="AW7" s="182">
        <f t="shared" si="1"/>
        <v>281.61112900000001</v>
      </c>
      <c r="AY7" s="183">
        <v>0.40699999999999997</v>
      </c>
      <c r="BA7" s="183">
        <f t="shared" si="6"/>
        <v>0.17220169999999999</v>
      </c>
      <c r="BC7" s="183">
        <v>0.36199999999999999</v>
      </c>
      <c r="BE7" s="183">
        <f t="shared" si="7"/>
        <v>0.1531622</v>
      </c>
      <c r="BF7" s="183">
        <f t="shared" si="8"/>
        <v>1.1243093922651934</v>
      </c>
      <c r="BH7" s="183">
        <f t="shared" si="2"/>
        <v>4.7569530386740331E-3</v>
      </c>
      <c r="BJ7" s="183">
        <v>2516.1</v>
      </c>
      <c r="BL7" s="183">
        <f t="shared" si="9"/>
        <v>10.645619099999999</v>
      </c>
      <c r="BN7" s="183">
        <v>2314.9</v>
      </c>
      <c r="BP7" s="183">
        <f t="shared" si="10"/>
        <v>9.7943418999999992</v>
      </c>
      <c r="BR7" s="181">
        <f t="shared" si="3"/>
        <v>18.657237611999999</v>
      </c>
      <c r="BS7" s="184" t="s">
        <v>435</v>
      </c>
      <c r="BT7" s="185">
        <v>0.42309999999999998</v>
      </c>
      <c r="BU7" s="168" t="s">
        <v>236</v>
      </c>
    </row>
    <row r="8" spans="1:79" s="168" customFormat="1">
      <c r="A8" s="168" t="s">
        <v>144</v>
      </c>
      <c r="D8" s="169" t="s">
        <v>135</v>
      </c>
      <c r="E8" s="168">
        <v>4</v>
      </c>
      <c r="G8" s="181">
        <f t="shared" si="11"/>
        <v>12.010999999999999</v>
      </c>
      <c r="I8" s="169" t="s">
        <v>136</v>
      </c>
      <c r="J8" s="168">
        <v>10</v>
      </c>
      <c r="L8" s="181">
        <f t="shared" si="12"/>
        <v>1.0079400000000001</v>
      </c>
      <c r="N8" s="168" t="s">
        <v>137</v>
      </c>
      <c r="O8" s="168">
        <v>0</v>
      </c>
      <c r="Q8" s="181">
        <f t="shared" si="13"/>
        <v>15.9994</v>
      </c>
      <c r="S8" s="168" t="s">
        <v>138</v>
      </c>
      <c r="T8" s="168">
        <v>0</v>
      </c>
      <c r="V8" s="181">
        <f t="shared" si="14"/>
        <v>32.066000000000003</v>
      </c>
      <c r="X8" s="168" t="s">
        <v>139</v>
      </c>
      <c r="Y8" s="168">
        <v>0</v>
      </c>
      <c r="AA8" s="181">
        <f t="shared" si="15"/>
        <v>14.006740000000001</v>
      </c>
      <c r="AC8" s="168" t="s">
        <v>140</v>
      </c>
      <c r="AD8" s="168">
        <v>0</v>
      </c>
      <c r="AF8" s="181">
        <f t="shared" si="16"/>
        <v>4.0026020000000004</v>
      </c>
      <c r="AH8" s="168" t="s">
        <v>141</v>
      </c>
      <c r="AI8" s="168">
        <v>0</v>
      </c>
      <c r="AK8" s="181">
        <f t="shared" si="17"/>
        <v>39.948</v>
      </c>
      <c r="AM8" s="181">
        <f t="shared" si="4"/>
        <v>58.123399999999997</v>
      </c>
      <c r="AO8" s="168">
        <v>527.9</v>
      </c>
      <c r="AQ8" s="182">
        <f t="shared" si="0"/>
        <v>34.471869999999996</v>
      </c>
      <c r="AS8" s="168">
        <v>274.41000000000003</v>
      </c>
      <c r="AU8" s="168">
        <f t="shared" si="5"/>
        <v>734.08</v>
      </c>
      <c r="AW8" s="182">
        <f t="shared" si="1"/>
        <v>47.935423999999998</v>
      </c>
      <c r="AY8" s="183">
        <v>0.41499999999999998</v>
      </c>
      <c r="BA8" s="183">
        <f t="shared" si="6"/>
        <v>2.7099499999999999E-2</v>
      </c>
      <c r="BC8" s="183">
        <v>0.158</v>
      </c>
      <c r="BE8" s="183">
        <f t="shared" si="7"/>
        <v>1.0317399999999999E-2</v>
      </c>
      <c r="BF8" s="183">
        <f t="shared" si="8"/>
        <v>2.6265822784810124</v>
      </c>
      <c r="BH8" s="183">
        <f t="shared" si="2"/>
        <v>1.7151582278481011E-3</v>
      </c>
      <c r="BJ8" s="183">
        <v>3251.9</v>
      </c>
      <c r="BL8" s="183">
        <f t="shared" si="9"/>
        <v>2.1234906999999996</v>
      </c>
      <c r="BN8" s="183">
        <v>3000.4</v>
      </c>
      <c r="BP8" s="183">
        <f t="shared" si="10"/>
        <v>1.9592612</v>
      </c>
      <c r="BR8" s="181">
        <f t="shared" si="3"/>
        <v>3.7954580199999994</v>
      </c>
      <c r="BS8" s="184" t="s">
        <v>436</v>
      </c>
      <c r="BT8" s="185">
        <v>6.5299999999999997E-2</v>
      </c>
      <c r="BU8" s="168" t="s">
        <v>236</v>
      </c>
    </row>
    <row r="9" spans="1:79" s="168" customFormat="1">
      <c r="A9" s="168" t="s">
        <v>146</v>
      </c>
      <c r="D9" s="169" t="s">
        <v>135</v>
      </c>
      <c r="E9" s="168">
        <v>4</v>
      </c>
      <c r="G9" s="181">
        <f t="shared" si="11"/>
        <v>12.010999999999999</v>
      </c>
      <c r="I9" s="169" t="s">
        <v>136</v>
      </c>
      <c r="J9" s="168">
        <v>10</v>
      </c>
      <c r="L9" s="181">
        <f t="shared" si="12"/>
        <v>1.0079400000000001</v>
      </c>
      <c r="N9" s="168" t="s">
        <v>137</v>
      </c>
      <c r="O9" s="168">
        <v>0</v>
      </c>
      <c r="Q9" s="181">
        <f t="shared" si="13"/>
        <v>15.9994</v>
      </c>
      <c r="S9" s="168" t="s">
        <v>138</v>
      </c>
      <c r="T9" s="168">
        <v>0</v>
      </c>
      <c r="V9" s="181">
        <f t="shared" si="14"/>
        <v>32.066000000000003</v>
      </c>
      <c r="X9" s="168" t="s">
        <v>139</v>
      </c>
      <c r="Y9" s="168">
        <v>0</v>
      </c>
      <c r="AA9" s="181">
        <f t="shared" si="15"/>
        <v>14.006740000000001</v>
      </c>
      <c r="AC9" s="168" t="s">
        <v>140</v>
      </c>
      <c r="AD9" s="168">
        <v>0</v>
      </c>
      <c r="AF9" s="181">
        <f t="shared" si="16"/>
        <v>4.0026020000000004</v>
      </c>
      <c r="AH9" s="168" t="s">
        <v>141</v>
      </c>
      <c r="AI9" s="168">
        <v>0</v>
      </c>
      <c r="AK9" s="181">
        <f t="shared" si="17"/>
        <v>39.948</v>
      </c>
      <c r="AM9" s="181">
        <f t="shared" si="4"/>
        <v>58.123399999999997</v>
      </c>
      <c r="AO9" s="168">
        <v>548.79999999999995</v>
      </c>
      <c r="AQ9" s="182">
        <f t="shared" si="0"/>
        <v>39.074559999999998</v>
      </c>
      <c r="AS9" s="168">
        <v>305.51</v>
      </c>
      <c r="AU9" s="168">
        <f t="shared" si="5"/>
        <v>765.18000000000006</v>
      </c>
      <c r="AW9" s="182">
        <f t="shared" si="1"/>
        <v>54.480816000000004</v>
      </c>
      <c r="AY9" s="183">
        <v>0.41499999999999998</v>
      </c>
      <c r="BA9" s="183">
        <f t="shared" si="6"/>
        <v>2.9547999999999998E-2</v>
      </c>
      <c r="BC9" s="183">
        <v>0.158</v>
      </c>
      <c r="BE9" s="183">
        <f t="shared" si="7"/>
        <v>1.12496E-2</v>
      </c>
      <c r="BF9" s="183">
        <f t="shared" si="8"/>
        <v>2.6265822784810124</v>
      </c>
      <c r="BH9" s="183">
        <f t="shared" si="2"/>
        <v>1.8701265822784808E-3</v>
      </c>
      <c r="BJ9" s="183">
        <v>3262.3</v>
      </c>
      <c r="BL9" s="183">
        <f t="shared" si="9"/>
        <v>2.3227576000000001</v>
      </c>
      <c r="BN9" s="183">
        <v>3010.8</v>
      </c>
      <c r="BP9" s="183">
        <f t="shared" si="10"/>
        <v>2.1436896000000001</v>
      </c>
      <c r="BR9" s="181">
        <f t="shared" si="3"/>
        <v>4.1383860800000001</v>
      </c>
      <c r="BS9" s="184" t="s">
        <v>437</v>
      </c>
      <c r="BT9" s="185">
        <v>7.1199999999999999E-2</v>
      </c>
      <c r="BU9" s="168" t="s">
        <v>236</v>
      </c>
    </row>
    <row r="10" spans="1:79" s="168" customFormat="1">
      <c r="A10" s="168" t="s">
        <v>148</v>
      </c>
      <c r="D10" s="169" t="s">
        <v>135</v>
      </c>
      <c r="E10" s="168">
        <v>5</v>
      </c>
      <c r="G10" s="181">
        <f t="shared" si="11"/>
        <v>12.010999999999999</v>
      </c>
      <c r="I10" s="169" t="s">
        <v>136</v>
      </c>
      <c r="J10" s="168">
        <v>12</v>
      </c>
      <c r="L10" s="181">
        <f t="shared" si="12"/>
        <v>1.0079400000000001</v>
      </c>
      <c r="N10" s="168" t="s">
        <v>137</v>
      </c>
      <c r="O10" s="168">
        <v>0</v>
      </c>
      <c r="Q10" s="181">
        <f t="shared" si="13"/>
        <v>15.9994</v>
      </c>
      <c r="S10" s="168" t="s">
        <v>138</v>
      </c>
      <c r="T10" s="168">
        <v>0</v>
      </c>
      <c r="V10" s="181">
        <f t="shared" si="14"/>
        <v>32.066000000000003</v>
      </c>
      <c r="X10" s="168" t="s">
        <v>139</v>
      </c>
      <c r="Y10" s="168">
        <v>0</v>
      </c>
      <c r="AA10" s="181">
        <f t="shared" si="15"/>
        <v>14.006740000000001</v>
      </c>
      <c r="AC10" s="168" t="s">
        <v>140</v>
      </c>
      <c r="AD10" s="168">
        <v>0</v>
      </c>
      <c r="AF10" s="181">
        <f t="shared" si="16"/>
        <v>4.0026020000000004</v>
      </c>
      <c r="AH10" s="168" t="s">
        <v>141</v>
      </c>
      <c r="AI10" s="168">
        <v>0</v>
      </c>
      <c r="AK10" s="181">
        <f t="shared" si="17"/>
        <v>39.948</v>
      </c>
      <c r="AM10" s="181">
        <f t="shared" si="4"/>
        <v>72.150279999999995</v>
      </c>
      <c r="AO10" s="168">
        <v>490.4</v>
      </c>
      <c r="AQ10" s="182">
        <f t="shared" si="0"/>
        <v>9.4156799999999983</v>
      </c>
      <c r="AS10" s="168">
        <v>368.96</v>
      </c>
      <c r="AU10" s="168">
        <f t="shared" si="5"/>
        <v>828.63</v>
      </c>
      <c r="AW10" s="182">
        <f t="shared" si="1"/>
        <v>15.909695999999999</v>
      </c>
      <c r="AY10" s="183"/>
      <c r="BA10" s="183">
        <f t="shared" si="6"/>
        <v>0</v>
      </c>
      <c r="BC10" s="183"/>
      <c r="BE10" s="183">
        <f t="shared" si="7"/>
        <v>0</v>
      </c>
      <c r="BF10" s="183">
        <v>1.075</v>
      </c>
      <c r="BH10" s="183">
        <f t="shared" si="2"/>
        <v>2.0639999999999998E-4</v>
      </c>
      <c r="BJ10" s="183">
        <v>4000.9</v>
      </c>
      <c r="BL10" s="183">
        <f t="shared" si="9"/>
        <v>0.76817279999999999</v>
      </c>
      <c r="BN10" s="183">
        <v>3699</v>
      </c>
      <c r="BP10" s="183">
        <f t="shared" si="10"/>
        <v>0.71020799999999995</v>
      </c>
      <c r="BR10" s="181">
        <f t="shared" si="3"/>
        <v>1.3852853759999997</v>
      </c>
      <c r="BS10" s="184" t="s">
        <v>438</v>
      </c>
      <c r="BT10" s="185">
        <v>1.9199999999999998E-2</v>
      </c>
      <c r="BU10" s="168" t="s">
        <v>236</v>
      </c>
    </row>
    <row r="11" spans="1:79" s="168" customFormat="1">
      <c r="A11" s="168" t="s">
        <v>150</v>
      </c>
      <c r="D11" s="169" t="s">
        <v>135</v>
      </c>
      <c r="E11" s="168">
        <v>5</v>
      </c>
      <c r="G11" s="181">
        <f t="shared" si="11"/>
        <v>12.010999999999999</v>
      </c>
      <c r="I11" s="169" t="s">
        <v>136</v>
      </c>
      <c r="J11" s="168">
        <v>12</v>
      </c>
      <c r="L11" s="181">
        <f t="shared" si="12"/>
        <v>1.0079400000000001</v>
      </c>
      <c r="N11" s="168" t="s">
        <v>137</v>
      </c>
      <c r="O11" s="168">
        <v>0</v>
      </c>
      <c r="Q11" s="181">
        <f t="shared" si="13"/>
        <v>15.9994</v>
      </c>
      <c r="S11" s="168" t="s">
        <v>138</v>
      </c>
      <c r="T11" s="168">
        <v>0</v>
      </c>
      <c r="V11" s="181">
        <f t="shared" si="14"/>
        <v>32.066000000000003</v>
      </c>
      <c r="X11" s="168" t="s">
        <v>139</v>
      </c>
      <c r="Y11" s="168">
        <v>0</v>
      </c>
      <c r="AA11" s="181">
        <f t="shared" si="15"/>
        <v>14.006740000000001</v>
      </c>
      <c r="AC11" s="168" t="s">
        <v>140</v>
      </c>
      <c r="AD11" s="168">
        <v>0</v>
      </c>
      <c r="AF11" s="181">
        <f t="shared" si="16"/>
        <v>4.0026020000000004</v>
      </c>
      <c r="AH11" s="168" t="s">
        <v>141</v>
      </c>
      <c r="AI11" s="168">
        <v>0</v>
      </c>
      <c r="AK11" s="181">
        <f t="shared" si="17"/>
        <v>39.948</v>
      </c>
      <c r="AM11" s="181">
        <f t="shared" si="4"/>
        <v>72.150279999999995</v>
      </c>
      <c r="AO11" s="168">
        <v>488.1</v>
      </c>
      <c r="AQ11" s="182">
        <f t="shared" si="0"/>
        <v>6.9310200000000011</v>
      </c>
      <c r="AS11" s="168">
        <v>385.7</v>
      </c>
      <c r="AU11" s="168">
        <f t="shared" si="5"/>
        <v>845.37</v>
      </c>
      <c r="AW11" s="182">
        <f t="shared" si="1"/>
        <v>12.004254000000001</v>
      </c>
      <c r="AY11" s="183"/>
      <c r="BA11" s="183">
        <f t="shared" si="6"/>
        <v>0</v>
      </c>
      <c r="BC11" s="183"/>
      <c r="BE11" s="183">
        <f t="shared" si="7"/>
        <v>0</v>
      </c>
      <c r="BF11" s="183">
        <v>1.075</v>
      </c>
      <c r="BH11" s="183">
        <f t="shared" si="2"/>
        <v>1.5265E-4</v>
      </c>
      <c r="BJ11" s="183">
        <v>4008.9</v>
      </c>
      <c r="BL11" s="183">
        <f t="shared" si="9"/>
        <v>0.56926379999999999</v>
      </c>
      <c r="BN11" s="183">
        <v>3703.9</v>
      </c>
      <c r="BP11" s="183">
        <f t="shared" si="10"/>
        <v>0.52595380000000003</v>
      </c>
      <c r="BR11" s="181">
        <f t="shared" si="3"/>
        <v>1.0245339760000001</v>
      </c>
      <c r="BS11" s="184" t="s">
        <v>439</v>
      </c>
      <c r="BT11" s="185">
        <v>1.4200000000000001E-2</v>
      </c>
      <c r="BU11" s="168" t="s">
        <v>236</v>
      </c>
    </row>
    <row r="12" spans="1:79" s="168" customFormat="1">
      <c r="A12" s="168" t="s">
        <v>152</v>
      </c>
      <c r="D12" s="169" t="s">
        <v>135</v>
      </c>
      <c r="E12" s="168">
        <v>6</v>
      </c>
      <c r="G12" s="181">
        <f t="shared" si="11"/>
        <v>12.010999999999999</v>
      </c>
      <c r="I12" s="169" t="s">
        <v>136</v>
      </c>
      <c r="J12" s="168">
        <v>14</v>
      </c>
      <c r="L12" s="181">
        <f t="shared" si="12"/>
        <v>1.0079400000000001</v>
      </c>
      <c r="N12" s="168" t="s">
        <v>137</v>
      </c>
      <c r="O12" s="168">
        <v>0</v>
      </c>
      <c r="Q12" s="181">
        <f t="shared" si="13"/>
        <v>15.9994</v>
      </c>
      <c r="S12" s="168" t="s">
        <v>138</v>
      </c>
      <c r="T12" s="168">
        <v>0</v>
      </c>
      <c r="V12" s="181">
        <f t="shared" si="14"/>
        <v>32.066000000000003</v>
      </c>
      <c r="X12" s="168" t="s">
        <v>139</v>
      </c>
      <c r="Y12" s="168">
        <v>0</v>
      </c>
      <c r="AA12" s="181">
        <f t="shared" si="15"/>
        <v>14.006740000000001</v>
      </c>
      <c r="AC12" s="168" t="s">
        <v>140</v>
      </c>
      <c r="AD12" s="168">
        <v>0</v>
      </c>
      <c r="AF12" s="181">
        <f t="shared" si="16"/>
        <v>4.0026020000000004</v>
      </c>
      <c r="AH12" s="168" t="s">
        <v>141</v>
      </c>
      <c r="AI12" s="168">
        <v>0</v>
      </c>
      <c r="AK12" s="181">
        <f t="shared" si="17"/>
        <v>39.948</v>
      </c>
      <c r="AM12" s="181">
        <f t="shared" si="4"/>
        <v>86.177160000000001</v>
      </c>
      <c r="AO12" s="168">
        <v>439.5</v>
      </c>
      <c r="AQ12" s="182">
        <f t="shared" si="0"/>
        <v>8.5263000000000009</v>
      </c>
      <c r="AS12" s="168">
        <v>451.8</v>
      </c>
      <c r="AU12" s="168">
        <f t="shared" si="5"/>
        <v>911.47</v>
      </c>
      <c r="AW12" s="182">
        <f t="shared" si="1"/>
        <v>17.682518000000002</v>
      </c>
      <c r="AY12" s="183">
        <v>0.54</v>
      </c>
      <c r="BA12" s="183">
        <f t="shared" si="6"/>
        <v>1.0476000000000001E-2</v>
      </c>
      <c r="BC12" s="183">
        <v>0.50944</v>
      </c>
      <c r="BE12" s="183">
        <f t="shared" si="7"/>
        <v>9.8831360000000007E-3</v>
      </c>
      <c r="BF12" s="183">
        <f t="shared" si="8"/>
        <v>1.0599874371859297</v>
      </c>
      <c r="BH12" s="183">
        <f t="shared" si="2"/>
        <v>2.0563756281407036E-4</v>
      </c>
      <c r="BJ12" s="183">
        <v>4755.8999999999996</v>
      </c>
      <c r="BL12" s="183">
        <f t="shared" si="9"/>
        <v>0.92264460000000004</v>
      </c>
      <c r="BN12" s="183">
        <v>4403.8999999999996</v>
      </c>
      <c r="BP12" s="183">
        <f t="shared" si="10"/>
        <v>0.85435660000000002</v>
      </c>
      <c r="BR12" s="181">
        <f t="shared" si="3"/>
        <v>1.6718369040000001</v>
      </c>
      <c r="BS12" s="184" t="s">
        <v>440</v>
      </c>
      <c r="BT12" s="185">
        <v>1.9400000000000001E-2</v>
      </c>
      <c r="BU12" s="168" t="s">
        <v>236</v>
      </c>
    </row>
    <row r="13" spans="1:79" s="168" customFormat="1">
      <c r="A13" s="168" t="s">
        <v>154</v>
      </c>
      <c r="D13" s="169" t="s">
        <v>135</v>
      </c>
      <c r="E13" s="168">
        <v>7</v>
      </c>
      <c r="G13" s="181">
        <f t="shared" si="11"/>
        <v>12.010999999999999</v>
      </c>
      <c r="I13" s="169" t="s">
        <v>136</v>
      </c>
      <c r="J13" s="168">
        <v>16</v>
      </c>
      <c r="L13" s="181">
        <f t="shared" si="12"/>
        <v>1.0079400000000001</v>
      </c>
      <c r="N13" s="168" t="s">
        <v>137</v>
      </c>
      <c r="O13" s="168">
        <v>0</v>
      </c>
      <c r="Q13" s="181">
        <f t="shared" si="13"/>
        <v>15.9994</v>
      </c>
      <c r="S13" s="168" t="s">
        <v>138</v>
      </c>
      <c r="T13" s="168">
        <v>0</v>
      </c>
      <c r="V13" s="181">
        <f t="shared" si="14"/>
        <v>32.066000000000003</v>
      </c>
      <c r="X13" s="168" t="s">
        <v>139</v>
      </c>
      <c r="Y13" s="168">
        <v>0</v>
      </c>
      <c r="AA13" s="181">
        <f t="shared" si="15"/>
        <v>14.006740000000001</v>
      </c>
      <c r="AC13" s="168" t="s">
        <v>140</v>
      </c>
      <c r="AD13" s="168">
        <v>0</v>
      </c>
      <c r="AF13" s="181">
        <f t="shared" si="16"/>
        <v>4.0026020000000004</v>
      </c>
      <c r="AH13" s="168" t="s">
        <v>141</v>
      </c>
      <c r="AI13" s="168">
        <v>0</v>
      </c>
      <c r="AK13" s="181">
        <f t="shared" si="17"/>
        <v>39.948</v>
      </c>
      <c r="AM13" s="181">
        <f t="shared" si="4"/>
        <v>100.20403999999999</v>
      </c>
      <c r="AO13" s="168">
        <v>397.4</v>
      </c>
      <c r="AQ13" s="182">
        <f t="shared" si="0"/>
        <v>0</v>
      </c>
      <c r="AS13" s="168">
        <v>510.9</v>
      </c>
      <c r="AU13" s="168">
        <f t="shared" si="5"/>
        <v>970.56999999999994</v>
      </c>
      <c r="AW13" s="182">
        <f t="shared" si="1"/>
        <v>0</v>
      </c>
      <c r="AY13" s="183">
        <v>0.53500000000000003</v>
      </c>
      <c r="BA13" s="183">
        <f t="shared" si="6"/>
        <v>0</v>
      </c>
      <c r="BC13" s="183">
        <v>0.50952381000000002</v>
      </c>
      <c r="BE13" s="183">
        <f t="shared" si="7"/>
        <v>0</v>
      </c>
      <c r="BF13" s="183">
        <f t="shared" si="8"/>
        <v>1.0499999990186917</v>
      </c>
      <c r="BH13" s="183">
        <f t="shared" si="2"/>
        <v>0</v>
      </c>
      <c r="BJ13" s="183">
        <v>5502.5</v>
      </c>
      <c r="BL13" s="183">
        <f t="shared" si="9"/>
        <v>0</v>
      </c>
      <c r="BN13" s="183">
        <v>5100.3</v>
      </c>
      <c r="BP13" s="183">
        <f t="shared" si="10"/>
        <v>0</v>
      </c>
      <c r="BR13" s="181">
        <f t="shared" si="3"/>
        <v>0</v>
      </c>
      <c r="BS13" s="184" t="s">
        <v>441</v>
      </c>
      <c r="BT13" s="185">
        <v>0</v>
      </c>
      <c r="BU13" s="168" t="s">
        <v>236</v>
      </c>
    </row>
    <row r="14" spans="1:79" s="168" customFormat="1">
      <c r="A14" s="168" t="s">
        <v>156</v>
      </c>
      <c r="D14" s="169" t="s">
        <v>135</v>
      </c>
      <c r="E14" s="168">
        <v>8</v>
      </c>
      <c r="G14" s="181">
        <f t="shared" si="11"/>
        <v>12.010999999999999</v>
      </c>
      <c r="I14" s="169" t="s">
        <v>136</v>
      </c>
      <c r="J14" s="168">
        <v>18</v>
      </c>
      <c r="L14" s="181">
        <f t="shared" si="12"/>
        <v>1.0079400000000001</v>
      </c>
      <c r="N14" s="168" t="s">
        <v>137</v>
      </c>
      <c r="O14" s="168">
        <v>0</v>
      </c>
      <c r="Q14" s="181">
        <f t="shared" si="13"/>
        <v>15.9994</v>
      </c>
      <c r="S14" s="168" t="s">
        <v>138</v>
      </c>
      <c r="T14" s="168">
        <v>0</v>
      </c>
      <c r="V14" s="181">
        <f t="shared" si="14"/>
        <v>32.066000000000003</v>
      </c>
      <c r="X14" s="168" t="s">
        <v>139</v>
      </c>
      <c r="Y14" s="168">
        <v>0</v>
      </c>
      <c r="AA14" s="181">
        <f t="shared" si="15"/>
        <v>14.006740000000001</v>
      </c>
      <c r="AC14" s="168" t="s">
        <v>140</v>
      </c>
      <c r="AD14" s="168">
        <v>0</v>
      </c>
      <c r="AF14" s="181">
        <f t="shared" si="16"/>
        <v>4.0026020000000004</v>
      </c>
      <c r="AH14" s="168" t="s">
        <v>141</v>
      </c>
      <c r="AI14" s="168">
        <v>0</v>
      </c>
      <c r="AK14" s="181">
        <f t="shared" si="17"/>
        <v>39.948</v>
      </c>
      <c r="AM14" s="181">
        <f t="shared" si="4"/>
        <v>114.23092</v>
      </c>
      <c r="AO14" s="168">
        <v>361.1</v>
      </c>
      <c r="AQ14" s="182">
        <f t="shared" si="0"/>
        <v>0</v>
      </c>
      <c r="AS14" s="168">
        <v>563.5</v>
      </c>
      <c r="AU14" s="168">
        <f t="shared" si="5"/>
        <v>1023.1700000000001</v>
      </c>
      <c r="AW14" s="182">
        <f t="shared" si="1"/>
        <v>0</v>
      </c>
      <c r="AY14" s="183">
        <v>0.40899999999999997</v>
      </c>
      <c r="BA14" s="183">
        <f t="shared" si="6"/>
        <v>0</v>
      </c>
      <c r="BC14" s="183">
        <v>0.39200000000000002</v>
      </c>
      <c r="BE14" s="183">
        <f t="shared" si="7"/>
        <v>0</v>
      </c>
      <c r="BF14" s="183">
        <f t="shared" si="8"/>
        <v>1.0433673469387754</v>
      </c>
      <c r="BH14" s="183">
        <f t="shared" si="2"/>
        <v>0</v>
      </c>
      <c r="BJ14" s="183">
        <v>6248.9</v>
      </c>
      <c r="BL14" s="183">
        <f t="shared" si="9"/>
        <v>0</v>
      </c>
      <c r="BN14" s="183">
        <v>5796.2</v>
      </c>
      <c r="BP14" s="183">
        <f t="shared" si="10"/>
        <v>0</v>
      </c>
      <c r="BR14" s="181">
        <f t="shared" si="3"/>
        <v>0</v>
      </c>
      <c r="BS14" s="184" t="s">
        <v>442</v>
      </c>
      <c r="BT14" s="185">
        <v>0</v>
      </c>
      <c r="BU14" s="168" t="s">
        <v>236</v>
      </c>
    </row>
    <row r="15" spans="1:79" s="168" customFormat="1">
      <c r="A15" s="168" t="s">
        <v>158</v>
      </c>
      <c r="D15" s="169" t="s">
        <v>135</v>
      </c>
      <c r="E15" s="168">
        <v>9</v>
      </c>
      <c r="G15" s="181">
        <f t="shared" si="11"/>
        <v>12.010999999999999</v>
      </c>
      <c r="I15" s="169" t="s">
        <v>136</v>
      </c>
      <c r="J15" s="168">
        <v>20</v>
      </c>
      <c r="L15" s="181">
        <f t="shared" si="12"/>
        <v>1.0079400000000001</v>
      </c>
      <c r="N15" s="168" t="s">
        <v>137</v>
      </c>
      <c r="O15" s="168">
        <v>0</v>
      </c>
      <c r="Q15" s="181">
        <f t="shared" si="13"/>
        <v>15.9994</v>
      </c>
      <c r="S15" s="168" t="s">
        <v>138</v>
      </c>
      <c r="T15" s="168">
        <v>0</v>
      </c>
      <c r="V15" s="181">
        <f t="shared" si="14"/>
        <v>32.066000000000003</v>
      </c>
      <c r="X15" s="168" t="s">
        <v>139</v>
      </c>
      <c r="Y15" s="168">
        <v>0</v>
      </c>
      <c r="AA15" s="181">
        <f t="shared" si="15"/>
        <v>14.006740000000001</v>
      </c>
      <c r="AC15" s="168" t="s">
        <v>140</v>
      </c>
      <c r="AD15" s="168">
        <v>0</v>
      </c>
      <c r="AF15" s="181">
        <f t="shared" si="16"/>
        <v>4.0026020000000004</v>
      </c>
      <c r="AH15" s="168" t="s">
        <v>141</v>
      </c>
      <c r="AI15" s="168">
        <v>0</v>
      </c>
      <c r="AK15" s="181">
        <f t="shared" si="17"/>
        <v>39.948</v>
      </c>
      <c r="AM15" s="181">
        <f t="shared" si="4"/>
        <v>128.25779999999997</v>
      </c>
      <c r="AO15" s="168">
        <v>330.7</v>
      </c>
      <c r="AQ15" s="182">
        <f t="shared" si="0"/>
        <v>0</v>
      </c>
      <c r="AS15" s="168">
        <v>610.79999999999995</v>
      </c>
      <c r="AU15" s="168">
        <f t="shared" si="5"/>
        <v>1070.47</v>
      </c>
      <c r="AW15" s="182">
        <f t="shared" si="1"/>
        <v>0</v>
      </c>
      <c r="AY15" s="183"/>
      <c r="BA15" s="183">
        <f t="shared" si="6"/>
        <v>0</v>
      </c>
      <c r="BC15" s="183"/>
      <c r="BE15" s="183">
        <f t="shared" si="7"/>
        <v>0</v>
      </c>
      <c r="BF15" s="183">
        <v>1.042</v>
      </c>
      <c r="BH15" s="183">
        <f t="shared" si="2"/>
        <v>0</v>
      </c>
      <c r="BJ15" s="183">
        <v>6996.5</v>
      </c>
      <c r="BL15" s="183">
        <f t="shared" si="9"/>
        <v>0</v>
      </c>
      <c r="BN15" s="183">
        <v>6493.6</v>
      </c>
      <c r="BP15" s="183">
        <f t="shared" si="10"/>
        <v>0</v>
      </c>
      <c r="BR15" s="181">
        <f t="shared" si="3"/>
        <v>0</v>
      </c>
      <c r="BS15" s="184" t="s">
        <v>443</v>
      </c>
      <c r="BT15" s="185">
        <v>0</v>
      </c>
      <c r="BU15" s="168" t="s">
        <v>236</v>
      </c>
    </row>
    <row r="16" spans="1:79" s="168" customFormat="1">
      <c r="A16" s="168" t="s">
        <v>160</v>
      </c>
      <c r="D16" s="169" t="s">
        <v>135</v>
      </c>
      <c r="E16" s="168">
        <v>10</v>
      </c>
      <c r="G16" s="181">
        <f t="shared" si="11"/>
        <v>12.010999999999999</v>
      </c>
      <c r="I16" s="169" t="s">
        <v>136</v>
      </c>
      <c r="J16" s="168">
        <v>22</v>
      </c>
      <c r="L16" s="181">
        <f t="shared" si="12"/>
        <v>1.0079400000000001</v>
      </c>
      <c r="N16" s="168" t="s">
        <v>137</v>
      </c>
      <c r="O16" s="168">
        <v>0</v>
      </c>
      <c r="Q16" s="181">
        <f t="shared" si="13"/>
        <v>15.9994</v>
      </c>
      <c r="S16" s="168" t="s">
        <v>138</v>
      </c>
      <c r="T16" s="168">
        <v>0</v>
      </c>
      <c r="V16" s="181">
        <f t="shared" si="14"/>
        <v>32.066000000000003</v>
      </c>
      <c r="X16" s="168" t="s">
        <v>139</v>
      </c>
      <c r="Y16" s="168">
        <v>0</v>
      </c>
      <c r="AA16" s="181">
        <f t="shared" si="15"/>
        <v>14.006740000000001</v>
      </c>
      <c r="AC16" s="168" t="s">
        <v>140</v>
      </c>
      <c r="AD16" s="168">
        <v>0</v>
      </c>
      <c r="AF16" s="181">
        <f t="shared" si="16"/>
        <v>4.0026020000000004</v>
      </c>
      <c r="AH16" s="168" t="s">
        <v>141</v>
      </c>
      <c r="AI16" s="168">
        <v>0</v>
      </c>
      <c r="AK16" s="181">
        <f t="shared" si="17"/>
        <v>39.948</v>
      </c>
      <c r="AM16" s="181">
        <f t="shared" si="4"/>
        <v>142.28467999999998</v>
      </c>
      <c r="AO16" s="168">
        <v>304.60000000000002</v>
      </c>
      <c r="AQ16" s="182">
        <f t="shared" si="0"/>
        <v>0</v>
      </c>
      <c r="AS16" s="168">
        <v>652.20000000000005</v>
      </c>
      <c r="AU16" s="168">
        <f t="shared" si="5"/>
        <v>1111.8700000000001</v>
      </c>
      <c r="AW16" s="182">
        <f t="shared" si="1"/>
        <v>0</v>
      </c>
      <c r="AY16" s="183">
        <v>0.58399999999999996</v>
      </c>
      <c r="BA16" s="183">
        <f t="shared" si="6"/>
        <v>0</v>
      </c>
      <c r="BC16" s="183">
        <v>0.56975609999999999</v>
      </c>
      <c r="BE16" s="183">
        <f t="shared" si="7"/>
        <v>0</v>
      </c>
      <c r="BF16" s="183">
        <f t="shared" si="8"/>
        <v>1.0249999956121576</v>
      </c>
      <c r="BH16" s="183">
        <f t="shared" si="2"/>
        <v>0</v>
      </c>
      <c r="BJ16" s="183">
        <v>7742.9</v>
      </c>
      <c r="BL16" s="183">
        <f t="shared" si="9"/>
        <v>0</v>
      </c>
      <c r="BN16" s="183">
        <v>7189.9</v>
      </c>
      <c r="BP16" s="183">
        <f t="shared" si="10"/>
        <v>0</v>
      </c>
      <c r="BR16" s="181">
        <f t="shared" si="3"/>
        <v>0</v>
      </c>
      <c r="BS16" s="184" t="s">
        <v>444</v>
      </c>
      <c r="BT16" s="185">
        <v>0</v>
      </c>
      <c r="BU16" s="168" t="s">
        <v>236</v>
      </c>
    </row>
    <row r="17" spans="1:74" s="168" customFormat="1">
      <c r="A17" s="168" t="s">
        <v>162</v>
      </c>
      <c r="D17" s="169" t="s">
        <v>135</v>
      </c>
      <c r="E17" s="168">
        <v>0</v>
      </c>
      <c r="G17" s="181">
        <f t="shared" si="11"/>
        <v>12.010999999999999</v>
      </c>
      <c r="I17" s="169" t="s">
        <v>136</v>
      </c>
      <c r="J17" s="168">
        <v>2</v>
      </c>
      <c r="L17" s="181">
        <f t="shared" si="12"/>
        <v>1.0079400000000001</v>
      </c>
      <c r="N17" s="168" t="s">
        <v>137</v>
      </c>
      <c r="O17" s="168">
        <v>0</v>
      </c>
      <c r="Q17" s="181">
        <f t="shared" si="13"/>
        <v>15.9994</v>
      </c>
      <c r="S17" s="168" t="s">
        <v>138</v>
      </c>
      <c r="T17" s="168">
        <v>0</v>
      </c>
      <c r="V17" s="181">
        <f t="shared" si="14"/>
        <v>32.066000000000003</v>
      </c>
      <c r="X17" s="168" t="s">
        <v>139</v>
      </c>
      <c r="Y17" s="168">
        <v>0</v>
      </c>
      <c r="AA17" s="181">
        <f t="shared" si="15"/>
        <v>14.006740000000001</v>
      </c>
      <c r="AC17" s="168" t="s">
        <v>140</v>
      </c>
      <c r="AD17" s="168">
        <v>0</v>
      </c>
      <c r="AF17" s="181">
        <f t="shared" si="16"/>
        <v>4.0026020000000004</v>
      </c>
      <c r="AH17" s="168" t="s">
        <v>141</v>
      </c>
      <c r="AI17" s="168">
        <v>0</v>
      </c>
      <c r="AK17" s="181">
        <f t="shared" si="17"/>
        <v>39.948</v>
      </c>
      <c r="AM17" s="181">
        <f t="shared" si="4"/>
        <v>2.0158800000000001</v>
      </c>
      <c r="AO17" s="168">
        <v>187.5</v>
      </c>
      <c r="AQ17" s="182">
        <f t="shared" si="0"/>
        <v>0</v>
      </c>
      <c r="AS17" s="168">
        <v>-400.3</v>
      </c>
      <c r="AU17" s="168">
        <f t="shared" si="5"/>
        <v>59.370000000000005</v>
      </c>
      <c r="AW17" s="182">
        <f t="shared" si="1"/>
        <v>0</v>
      </c>
      <c r="AY17" s="183">
        <v>3.43</v>
      </c>
      <c r="BA17" s="183">
        <f t="shared" si="6"/>
        <v>0</v>
      </c>
      <c r="BC17" s="183">
        <v>2.44</v>
      </c>
      <c r="BE17" s="183">
        <f t="shared" si="7"/>
        <v>0</v>
      </c>
      <c r="BF17" s="183">
        <f t="shared" si="8"/>
        <v>1.4057377049180328</v>
      </c>
      <c r="BH17" s="183">
        <f t="shared" si="2"/>
        <v>0</v>
      </c>
      <c r="BJ17" s="183">
        <v>324.2</v>
      </c>
      <c r="BL17" s="183">
        <f t="shared" si="9"/>
        <v>0</v>
      </c>
      <c r="BN17" s="183">
        <v>273.93</v>
      </c>
      <c r="BP17" s="183">
        <f t="shared" si="10"/>
        <v>0</v>
      </c>
      <c r="BR17" s="181">
        <f t="shared" si="3"/>
        <v>0</v>
      </c>
      <c r="BS17" s="184" t="s">
        <v>445</v>
      </c>
      <c r="BT17" s="185">
        <v>0</v>
      </c>
      <c r="BU17" s="168" t="s">
        <v>236</v>
      </c>
    </row>
    <row r="18" spans="1:74" s="168" customFormat="1">
      <c r="A18" s="168" t="s">
        <v>164</v>
      </c>
      <c r="D18" s="169" t="s">
        <v>135</v>
      </c>
      <c r="E18" s="168">
        <v>0</v>
      </c>
      <c r="G18" s="181">
        <f t="shared" si="11"/>
        <v>12.010999999999999</v>
      </c>
      <c r="I18" s="169" t="s">
        <v>136</v>
      </c>
      <c r="J18" s="168">
        <v>0</v>
      </c>
      <c r="L18" s="181">
        <f t="shared" si="12"/>
        <v>1.0079400000000001</v>
      </c>
      <c r="N18" s="168" t="s">
        <v>137</v>
      </c>
      <c r="O18" s="168">
        <v>0</v>
      </c>
      <c r="Q18" s="181">
        <f t="shared" si="13"/>
        <v>15.9994</v>
      </c>
      <c r="S18" s="168" t="s">
        <v>138</v>
      </c>
      <c r="T18" s="168">
        <v>0</v>
      </c>
      <c r="V18" s="181">
        <f t="shared" si="14"/>
        <v>32.066000000000003</v>
      </c>
      <c r="X18" s="168" t="s">
        <v>139</v>
      </c>
      <c r="Y18" s="168">
        <v>0</v>
      </c>
      <c r="AA18" s="181">
        <f t="shared" si="15"/>
        <v>14.006740000000001</v>
      </c>
      <c r="AC18" s="168" t="s">
        <v>140</v>
      </c>
      <c r="AD18" s="168">
        <v>1</v>
      </c>
      <c r="AF18" s="181">
        <f t="shared" si="16"/>
        <v>4.0026020000000004</v>
      </c>
      <c r="AH18" s="168" t="s">
        <v>141</v>
      </c>
      <c r="AI18" s="168">
        <v>0</v>
      </c>
      <c r="AK18" s="181">
        <f t="shared" si="17"/>
        <v>39.948</v>
      </c>
      <c r="AM18" s="181">
        <f t="shared" si="4"/>
        <v>4.0026020000000004</v>
      </c>
      <c r="AO18" s="168">
        <v>32.99</v>
      </c>
      <c r="AQ18" s="182">
        <f t="shared" si="0"/>
        <v>0</v>
      </c>
      <c r="AS18" s="168">
        <v>-450.31</v>
      </c>
      <c r="AU18" s="168">
        <f t="shared" si="5"/>
        <v>9.3600000000000136</v>
      </c>
      <c r="AW18" s="182">
        <f t="shared" si="1"/>
        <v>0</v>
      </c>
      <c r="AY18" s="183">
        <v>1.25</v>
      </c>
      <c r="BA18" s="183">
        <f t="shared" si="6"/>
        <v>0</v>
      </c>
      <c r="BC18" s="183">
        <v>0.753</v>
      </c>
      <c r="BE18" s="183">
        <f t="shared" si="7"/>
        <v>0</v>
      </c>
      <c r="BF18" s="183">
        <f t="shared" si="8"/>
        <v>1.6600265604249669</v>
      </c>
      <c r="BH18" s="183">
        <f t="shared" si="2"/>
        <v>0</v>
      </c>
      <c r="BJ18" s="183">
        <v>0</v>
      </c>
      <c r="BL18" s="183">
        <f t="shared" si="9"/>
        <v>0</v>
      </c>
      <c r="BN18" s="183">
        <v>0</v>
      </c>
      <c r="BP18" s="183">
        <f t="shared" si="10"/>
        <v>0</v>
      </c>
      <c r="BR18" s="181">
        <f t="shared" si="3"/>
        <v>0</v>
      </c>
      <c r="BS18" s="184" t="s">
        <v>140</v>
      </c>
      <c r="BT18" s="185">
        <v>0</v>
      </c>
      <c r="BU18" s="168" t="s">
        <v>236</v>
      </c>
    </row>
    <row r="19" spans="1:74" s="168" customFormat="1">
      <c r="A19" s="168" t="s">
        <v>166</v>
      </c>
      <c r="D19" s="169" t="s">
        <v>135</v>
      </c>
      <c r="E19" s="168">
        <v>0</v>
      </c>
      <c r="G19" s="181">
        <f t="shared" si="11"/>
        <v>12.010999999999999</v>
      </c>
      <c r="I19" s="169" t="s">
        <v>136</v>
      </c>
      <c r="J19" s="168">
        <v>2</v>
      </c>
      <c r="L19" s="181">
        <f t="shared" si="12"/>
        <v>1.0079400000000001</v>
      </c>
      <c r="N19" s="168" t="s">
        <v>137</v>
      </c>
      <c r="O19" s="168">
        <v>1</v>
      </c>
      <c r="Q19" s="181">
        <f t="shared" si="13"/>
        <v>15.9994</v>
      </c>
      <c r="S19" s="168" t="s">
        <v>138</v>
      </c>
      <c r="T19" s="168">
        <v>0</v>
      </c>
      <c r="V19" s="181">
        <f t="shared" si="14"/>
        <v>32.066000000000003</v>
      </c>
      <c r="X19" s="168" t="s">
        <v>139</v>
      </c>
      <c r="Y19" s="168">
        <v>0</v>
      </c>
      <c r="AA19" s="181">
        <f t="shared" si="15"/>
        <v>14.006740000000001</v>
      </c>
      <c r="AC19" s="168" t="s">
        <v>140</v>
      </c>
      <c r="AD19" s="168">
        <v>0</v>
      </c>
      <c r="AF19" s="181">
        <f t="shared" si="16"/>
        <v>4.0026020000000004</v>
      </c>
      <c r="AH19" s="168" t="s">
        <v>141</v>
      </c>
      <c r="AI19" s="168">
        <v>0</v>
      </c>
      <c r="AK19" s="181">
        <f t="shared" si="17"/>
        <v>39.948</v>
      </c>
      <c r="AM19" s="181">
        <f t="shared" si="4"/>
        <v>18.015280000000001</v>
      </c>
      <c r="AO19" s="168">
        <v>3200.1</v>
      </c>
      <c r="AQ19" s="182">
        <f t="shared" si="0"/>
        <v>0</v>
      </c>
      <c r="AS19" s="168">
        <v>705.11</v>
      </c>
      <c r="AU19" s="168">
        <f t="shared" si="5"/>
        <v>1164.78</v>
      </c>
      <c r="AW19" s="182">
        <f t="shared" si="1"/>
        <v>0</v>
      </c>
      <c r="AY19" s="183">
        <v>0.44500000000000001</v>
      </c>
      <c r="BA19" s="183">
        <f t="shared" si="6"/>
        <v>0</v>
      </c>
      <c r="BC19" s="183">
        <v>0.33500000000000002</v>
      </c>
      <c r="BE19" s="183">
        <f t="shared" si="7"/>
        <v>0</v>
      </c>
      <c r="BF19" s="183">
        <f t="shared" si="8"/>
        <v>1.3283582089552237</v>
      </c>
      <c r="BH19" s="183">
        <f t="shared" si="2"/>
        <v>0</v>
      </c>
      <c r="BJ19" s="183">
        <v>50.311999999999998</v>
      </c>
      <c r="BL19" s="183">
        <f t="shared" si="9"/>
        <v>0</v>
      </c>
      <c r="BN19" s="183">
        <v>0</v>
      </c>
      <c r="BP19" s="183">
        <f t="shared" si="10"/>
        <v>0</v>
      </c>
      <c r="BR19" s="181">
        <f t="shared" si="3"/>
        <v>0</v>
      </c>
      <c r="BS19" s="184" t="s">
        <v>446</v>
      </c>
      <c r="BT19" s="185">
        <v>0</v>
      </c>
      <c r="BU19" s="168" t="s">
        <v>236</v>
      </c>
    </row>
    <row r="20" spans="1:74" s="168" customFormat="1">
      <c r="A20" s="168" t="s">
        <v>168</v>
      </c>
      <c r="D20" s="169" t="s">
        <v>135</v>
      </c>
      <c r="E20" s="168">
        <v>1</v>
      </c>
      <c r="G20" s="181">
        <f t="shared" si="11"/>
        <v>12.010999999999999</v>
      </c>
      <c r="I20" s="169" t="s">
        <v>136</v>
      </c>
      <c r="J20" s="168">
        <v>0</v>
      </c>
      <c r="L20" s="181">
        <f t="shared" si="12"/>
        <v>1.0079400000000001</v>
      </c>
      <c r="N20" s="168" t="s">
        <v>137</v>
      </c>
      <c r="O20" s="168">
        <v>1</v>
      </c>
      <c r="Q20" s="181">
        <f t="shared" si="13"/>
        <v>15.9994</v>
      </c>
      <c r="S20" s="168" t="s">
        <v>138</v>
      </c>
      <c r="T20" s="168">
        <v>0</v>
      </c>
      <c r="V20" s="181">
        <f t="shared" si="14"/>
        <v>32.066000000000003</v>
      </c>
      <c r="X20" s="168" t="s">
        <v>139</v>
      </c>
      <c r="Y20" s="168">
        <v>0</v>
      </c>
      <c r="AA20" s="181">
        <f t="shared" si="15"/>
        <v>14.006740000000001</v>
      </c>
      <c r="AC20" s="168" t="s">
        <v>140</v>
      </c>
      <c r="AD20" s="168">
        <v>0</v>
      </c>
      <c r="AF20" s="181">
        <f t="shared" si="16"/>
        <v>4.0026020000000004</v>
      </c>
      <c r="AH20" s="168" t="s">
        <v>141</v>
      </c>
      <c r="AI20" s="168">
        <v>0</v>
      </c>
      <c r="AK20" s="181">
        <f t="shared" si="17"/>
        <v>39.948</v>
      </c>
      <c r="AM20" s="181">
        <f t="shared" si="4"/>
        <v>28.010399999999997</v>
      </c>
      <c r="AO20" s="168">
        <v>506.8</v>
      </c>
      <c r="AQ20" s="182">
        <f t="shared" si="0"/>
        <v>0</v>
      </c>
      <c r="AS20" s="168">
        <v>-220.51</v>
      </c>
      <c r="AU20" s="168">
        <f t="shared" si="5"/>
        <v>239.16000000000003</v>
      </c>
      <c r="AW20" s="182">
        <f t="shared" si="1"/>
        <v>0</v>
      </c>
      <c r="AY20" s="183">
        <v>0.249</v>
      </c>
      <c r="BA20" s="183">
        <f t="shared" si="6"/>
        <v>0</v>
      </c>
      <c r="BC20" s="183">
        <v>0.17799999999999999</v>
      </c>
      <c r="BE20" s="183">
        <f t="shared" si="7"/>
        <v>0</v>
      </c>
      <c r="BF20" s="183">
        <f t="shared" si="8"/>
        <v>1.398876404494382</v>
      </c>
      <c r="BH20" s="183">
        <f t="shared" si="2"/>
        <v>0</v>
      </c>
      <c r="BJ20" s="183">
        <v>320.5</v>
      </c>
      <c r="BL20" s="183">
        <f t="shared" si="9"/>
        <v>0</v>
      </c>
      <c r="BN20" s="183">
        <v>320.5</v>
      </c>
      <c r="BP20" s="183">
        <f t="shared" si="10"/>
        <v>0</v>
      </c>
      <c r="BR20" s="181">
        <f t="shared" si="3"/>
        <v>0</v>
      </c>
      <c r="BS20" s="184" t="s">
        <v>447</v>
      </c>
      <c r="BT20" s="185">
        <v>0</v>
      </c>
      <c r="BU20" s="168" t="s">
        <v>236</v>
      </c>
    </row>
    <row r="21" spans="1:74" s="168" customFormat="1">
      <c r="A21" s="168" t="s">
        <v>170</v>
      </c>
      <c r="D21" s="169" t="s">
        <v>135</v>
      </c>
      <c r="E21" s="168">
        <v>0</v>
      </c>
      <c r="G21" s="181">
        <f t="shared" si="11"/>
        <v>12.010999999999999</v>
      </c>
      <c r="I21" s="169" t="s">
        <v>136</v>
      </c>
      <c r="J21" s="168">
        <v>0</v>
      </c>
      <c r="L21" s="181">
        <f t="shared" si="12"/>
        <v>1.0079400000000001</v>
      </c>
      <c r="N21" s="168" t="s">
        <v>137</v>
      </c>
      <c r="O21" s="168">
        <v>0</v>
      </c>
      <c r="Q21" s="181">
        <f t="shared" si="13"/>
        <v>15.9994</v>
      </c>
      <c r="S21" s="168" t="s">
        <v>138</v>
      </c>
      <c r="T21" s="168">
        <v>0</v>
      </c>
      <c r="V21" s="181">
        <f t="shared" si="14"/>
        <v>32.066000000000003</v>
      </c>
      <c r="X21" s="168" t="s">
        <v>139</v>
      </c>
      <c r="Y21" s="168">
        <v>2</v>
      </c>
      <c r="AA21" s="181">
        <f t="shared" si="15"/>
        <v>14.006740000000001</v>
      </c>
      <c r="AC21" s="168" t="s">
        <v>140</v>
      </c>
      <c r="AD21" s="168">
        <v>0</v>
      </c>
      <c r="AF21" s="181">
        <f t="shared" si="16"/>
        <v>4.0026020000000004</v>
      </c>
      <c r="AH21" s="168" t="s">
        <v>141</v>
      </c>
      <c r="AI21" s="168">
        <v>0</v>
      </c>
      <c r="AK21" s="181">
        <f t="shared" si="17"/>
        <v>39.948</v>
      </c>
      <c r="AM21" s="181">
        <f t="shared" si="4"/>
        <v>28.013480000000001</v>
      </c>
      <c r="AO21" s="168">
        <v>492.8</v>
      </c>
      <c r="AQ21" s="182">
        <f t="shared" si="0"/>
        <v>257.34016000000003</v>
      </c>
      <c r="AS21" s="168">
        <v>-232.49</v>
      </c>
      <c r="AU21" s="168">
        <f t="shared" si="5"/>
        <v>227.18</v>
      </c>
      <c r="AW21" s="182">
        <f t="shared" si="1"/>
        <v>118.633396</v>
      </c>
      <c r="AY21" s="183">
        <v>0.248</v>
      </c>
      <c r="BA21" s="183">
        <f t="shared" si="6"/>
        <v>0.1295056</v>
      </c>
      <c r="BC21" s="183">
        <v>0.17699999999999999</v>
      </c>
      <c r="BE21" s="183">
        <f t="shared" si="7"/>
        <v>9.2429399999999995E-2</v>
      </c>
      <c r="BF21" s="183">
        <f t="shared" si="8"/>
        <v>1.4011299435028248</v>
      </c>
      <c r="BH21" s="183">
        <f t="shared" si="2"/>
        <v>7.3167005649717506E-3</v>
      </c>
      <c r="BJ21" s="183">
        <v>0</v>
      </c>
      <c r="BL21" s="183">
        <f t="shared" si="9"/>
        <v>0</v>
      </c>
      <c r="BN21" s="183">
        <v>0</v>
      </c>
      <c r="BP21" s="183">
        <f t="shared" si="10"/>
        <v>0</v>
      </c>
      <c r="BR21" s="181">
        <f t="shared" si="3"/>
        <v>14.628639256000001</v>
      </c>
      <c r="BS21" s="184" t="s">
        <v>448</v>
      </c>
      <c r="BT21" s="186">
        <v>0.5222</v>
      </c>
      <c r="BU21" s="168" t="s">
        <v>236</v>
      </c>
    </row>
    <row r="22" spans="1:74" s="168" customFormat="1">
      <c r="A22" s="168" t="s">
        <v>171</v>
      </c>
      <c r="D22" s="169" t="s">
        <v>135</v>
      </c>
      <c r="E22" s="168">
        <v>0</v>
      </c>
      <c r="G22" s="181">
        <f t="shared" si="11"/>
        <v>12.010999999999999</v>
      </c>
      <c r="I22" s="169" t="s">
        <v>136</v>
      </c>
      <c r="J22" s="168">
        <v>0</v>
      </c>
      <c r="L22" s="181">
        <f t="shared" si="12"/>
        <v>1.0079400000000001</v>
      </c>
      <c r="N22" s="168" t="s">
        <v>137</v>
      </c>
      <c r="O22" s="168">
        <v>2</v>
      </c>
      <c r="Q22" s="181">
        <f t="shared" si="13"/>
        <v>15.9994</v>
      </c>
      <c r="S22" s="168" t="s">
        <v>138</v>
      </c>
      <c r="T22" s="168">
        <v>0</v>
      </c>
      <c r="V22" s="181">
        <f t="shared" si="14"/>
        <v>32.066000000000003</v>
      </c>
      <c r="X22" s="168" t="s">
        <v>139</v>
      </c>
      <c r="Y22" s="168">
        <v>0</v>
      </c>
      <c r="AA22" s="181">
        <f t="shared" si="15"/>
        <v>14.006740000000001</v>
      </c>
      <c r="AC22" s="168" t="s">
        <v>140</v>
      </c>
      <c r="AD22" s="168">
        <v>0</v>
      </c>
      <c r="AF22" s="181">
        <f t="shared" si="16"/>
        <v>4.0026020000000004</v>
      </c>
      <c r="AH22" s="168" t="s">
        <v>141</v>
      </c>
      <c r="AI22" s="168">
        <v>0</v>
      </c>
      <c r="AK22" s="181">
        <f t="shared" si="17"/>
        <v>39.948</v>
      </c>
      <c r="AM22" s="181">
        <f t="shared" si="4"/>
        <v>31.998799999999999</v>
      </c>
      <c r="AO22" s="168">
        <v>731.4</v>
      </c>
      <c r="AQ22" s="182">
        <f t="shared" si="0"/>
        <v>0</v>
      </c>
      <c r="AS22" s="168">
        <v>-181.41</v>
      </c>
      <c r="AU22" s="168">
        <f t="shared" si="5"/>
        <v>278.26</v>
      </c>
      <c r="AW22" s="182">
        <f t="shared" si="1"/>
        <v>0</v>
      </c>
      <c r="AY22" s="183">
        <v>0.219</v>
      </c>
      <c r="BA22" s="183">
        <f t="shared" si="6"/>
        <v>0</v>
      </c>
      <c r="BC22" s="183">
        <v>0.157</v>
      </c>
      <c r="BE22" s="183">
        <f t="shared" si="7"/>
        <v>0</v>
      </c>
      <c r="BF22" s="183">
        <f t="shared" si="8"/>
        <v>1.394904458598726</v>
      </c>
      <c r="BH22" s="183">
        <f t="shared" si="2"/>
        <v>0</v>
      </c>
      <c r="BJ22" s="183">
        <v>0</v>
      </c>
      <c r="BL22" s="183">
        <f t="shared" si="9"/>
        <v>0</v>
      </c>
      <c r="BN22" s="183">
        <v>0</v>
      </c>
      <c r="BP22" s="183">
        <f t="shared" si="10"/>
        <v>0</v>
      </c>
      <c r="BR22" s="181">
        <f t="shared" si="3"/>
        <v>0</v>
      </c>
      <c r="BS22" s="184" t="s">
        <v>449</v>
      </c>
      <c r="BT22" s="185">
        <v>0</v>
      </c>
      <c r="BU22" s="168" t="s">
        <v>236</v>
      </c>
    </row>
    <row r="23" spans="1:74" s="168" customFormat="1">
      <c r="A23" s="168" t="s">
        <v>173</v>
      </c>
      <c r="D23" s="169" t="s">
        <v>135</v>
      </c>
      <c r="E23" s="168">
        <v>0</v>
      </c>
      <c r="G23" s="181">
        <f t="shared" si="11"/>
        <v>12.010999999999999</v>
      </c>
      <c r="I23" s="169" t="s">
        <v>136</v>
      </c>
      <c r="J23" s="168">
        <v>2</v>
      </c>
      <c r="L23" s="181">
        <f t="shared" si="12"/>
        <v>1.0079400000000001</v>
      </c>
      <c r="N23" s="168" t="s">
        <v>137</v>
      </c>
      <c r="O23" s="168">
        <v>0</v>
      </c>
      <c r="Q23" s="181">
        <f t="shared" si="13"/>
        <v>15.9994</v>
      </c>
      <c r="S23" s="168" t="s">
        <v>138</v>
      </c>
      <c r="T23" s="168">
        <v>1</v>
      </c>
      <c r="V23" s="181">
        <f t="shared" si="14"/>
        <v>32.066000000000003</v>
      </c>
      <c r="X23" s="168" t="s">
        <v>139</v>
      </c>
      <c r="Y23" s="168">
        <v>0</v>
      </c>
      <c r="AA23" s="181">
        <f t="shared" si="15"/>
        <v>14.006740000000001</v>
      </c>
      <c r="AC23" s="168" t="s">
        <v>140</v>
      </c>
      <c r="AD23" s="168">
        <v>0</v>
      </c>
      <c r="AF23" s="181">
        <f t="shared" si="16"/>
        <v>4.0026020000000004</v>
      </c>
      <c r="AH23" s="168" t="s">
        <v>141</v>
      </c>
      <c r="AI23" s="168">
        <v>0</v>
      </c>
      <c r="AK23" s="181">
        <f t="shared" si="17"/>
        <v>39.948</v>
      </c>
      <c r="AM23" s="181">
        <f t="shared" si="4"/>
        <v>34.081880000000005</v>
      </c>
      <c r="AO23" s="168">
        <v>1300</v>
      </c>
      <c r="AQ23" s="182">
        <f t="shared" si="0"/>
        <v>0</v>
      </c>
      <c r="AS23" s="168">
        <v>212.4</v>
      </c>
      <c r="AU23" s="168">
        <f t="shared" si="5"/>
        <v>672.07</v>
      </c>
      <c r="AW23" s="182">
        <f t="shared" si="1"/>
        <v>0</v>
      </c>
      <c r="AY23" s="183">
        <v>0.24299999999999999</v>
      </c>
      <c r="BA23" s="183">
        <f t="shared" si="6"/>
        <v>0</v>
      </c>
      <c r="BC23" s="183">
        <v>0.187</v>
      </c>
      <c r="BE23" s="183">
        <f t="shared" si="7"/>
        <v>0</v>
      </c>
      <c r="BF23" s="183">
        <f t="shared" si="8"/>
        <v>1.2994652406417111</v>
      </c>
      <c r="BH23" s="183">
        <f t="shared" si="2"/>
        <v>0</v>
      </c>
      <c r="BJ23" s="183">
        <v>637.1</v>
      </c>
      <c r="BL23" s="183">
        <f t="shared" si="9"/>
        <v>0</v>
      </c>
      <c r="BN23" s="183">
        <v>586.79999999999995</v>
      </c>
      <c r="BP23" s="183">
        <f t="shared" si="10"/>
        <v>0</v>
      </c>
      <c r="BR23" s="181">
        <f t="shared" si="3"/>
        <v>0</v>
      </c>
      <c r="BS23" s="184" t="s">
        <v>450</v>
      </c>
      <c r="BT23" s="185">
        <v>0</v>
      </c>
      <c r="BU23" s="168" t="s">
        <v>236</v>
      </c>
    </row>
    <row r="24" spans="1:74" s="168" customFormat="1">
      <c r="A24" s="168" t="s">
        <v>175</v>
      </c>
      <c r="D24" s="169" t="s">
        <v>135</v>
      </c>
      <c r="E24" s="168">
        <v>0</v>
      </c>
      <c r="G24" s="181">
        <f t="shared" si="11"/>
        <v>12.010999999999999</v>
      </c>
      <c r="I24" s="169" t="s">
        <v>136</v>
      </c>
      <c r="J24" s="168">
        <v>0</v>
      </c>
      <c r="L24" s="181">
        <f t="shared" si="12"/>
        <v>1.0079400000000001</v>
      </c>
      <c r="N24" s="168" t="s">
        <v>137</v>
      </c>
      <c r="O24" s="168">
        <v>0</v>
      </c>
      <c r="Q24" s="181">
        <f t="shared" si="13"/>
        <v>15.9994</v>
      </c>
      <c r="S24" s="168" t="s">
        <v>138</v>
      </c>
      <c r="T24" s="168">
        <v>0</v>
      </c>
      <c r="V24" s="181">
        <f t="shared" si="14"/>
        <v>32.066000000000003</v>
      </c>
      <c r="X24" s="168" t="s">
        <v>139</v>
      </c>
      <c r="Y24" s="168">
        <v>0</v>
      </c>
      <c r="AA24" s="181">
        <f t="shared" si="15"/>
        <v>14.006740000000001</v>
      </c>
      <c r="AC24" s="168" t="s">
        <v>140</v>
      </c>
      <c r="AD24" s="168">
        <v>0</v>
      </c>
      <c r="AF24" s="181">
        <f t="shared" si="16"/>
        <v>4.0026020000000004</v>
      </c>
      <c r="AH24" s="168" t="s">
        <v>141</v>
      </c>
      <c r="AI24" s="168">
        <v>1</v>
      </c>
      <c r="AK24" s="181">
        <f t="shared" si="17"/>
        <v>39.948</v>
      </c>
      <c r="AM24" s="181">
        <f t="shared" si="4"/>
        <v>39.948</v>
      </c>
      <c r="AO24" s="168">
        <v>710.4</v>
      </c>
      <c r="AQ24" s="182">
        <f t="shared" si="0"/>
        <v>0</v>
      </c>
      <c r="AS24" s="168">
        <v>-188.12</v>
      </c>
      <c r="AU24" s="168">
        <f t="shared" si="5"/>
        <v>271.55</v>
      </c>
      <c r="AW24" s="182">
        <f t="shared" si="1"/>
        <v>0</v>
      </c>
      <c r="AY24" s="183">
        <v>0.12529999999999999</v>
      </c>
      <c r="BA24" s="183">
        <f t="shared" si="6"/>
        <v>0</v>
      </c>
      <c r="BC24" s="183">
        <v>7.5600000000000001E-2</v>
      </c>
      <c r="BE24" s="183">
        <f t="shared" si="7"/>
        <v>0</v>
      </c>
      <c r="BF24" s="183">
        <f t="shared" si="8"/>
        <v>1.6574074074074072</v>
      </c>
      <c r="BH24" s="183">
        <f t="shared" si="2"/>
        <v>0</v>
      </c>
      <c r="BJ24" s="183">
        <v>0</v>
      </c>
      <c r="BL24" s="183">
        <f t="shared" si="9"/>
        <v>0</v>
      </c>
      <c r="BN24" s="183">
        <v>0</v>
      </c>
      <c r="BP24" s="183">
        <f t="shared" si="10"/>
        <v>0</v>
      </c>
      <c r="BR24" s="181">
        <f t="shared" si="3"/>
        <v>0</v>
      </c>
      <c r="BS24" s="184" t="s">
        <v>141</v>
      </c>
      <c r="BT24" s="185">
        <v>0</v>
      </c>
      <c r="BU24" s="168" t="s">
        <v>236</v>
      </c>
    </row>
    <row r="25" spans="1:74" s="168" customFormat="1">
      <c r="A25" s="168" t="s">
        <v>177</v>
      </c>
      <c r="D25" s="169" t="s">
        <v>135</v>
      </c>
      <c r="E25" s="168">
        <v>1</v>
      </c>
      <c r="G25" s="181">
        <f t="shared" si="11"/>
        <v>12.010999999999999</v>
      </c>
      <c r="I25" s="169" t="s">
        <v>136</v>
      </c>
      <c r="J25" s="168">
        <v>0</v>
      </c>
      <c r="L25" s="181">
        <f t="shared" si="12"/>
        <v>1.0079400000000001</v>
      </c>
      <c r="N25" s="168" t="s">
        <v>137</v>
      </c>
      <c r="O25" s="168">
        <v>2</v>
      </c>
      <c r="Q25" s="181">
        <f t="shared" si="13"/>
        <v>15.9994</v>
      </c>
      <c r="S25" s="168" t="s">
        <v>138</v>
      </c>
      <c r="T25" s="168">
        <v>0</v>
      </c>
      <c r="V25" s="181">
        <f t="shared" si="14"/>
        <v>32.066000000000003</v>
      </c>
      <c r="X25" s="168" t="s">
        <v>139</v>
      </c>
      <c r="Y25" s="168">
        <v>0</v>
      </c>
      <c r="AA25" s="181">
        <f t="shared" si="15"/>
        <v>14.006740000000001</v>
      </c>
      <c r="AC25" s="168" t="s">
        <v>140</v>
      </c>
      <c r="AD25" s="168">
        <v>0</v>
      </c>
      <c r="AF25" s="181">
        <f t="shared" si="16"/>
        <v>4.0026020000000004</v>
      </c>
      <c r="AH25" s="168" t="s">
        <v>141</v>
      </c>
      <c r="AI25" s="168">
        <v>0</v>
      </c>
      <c r="AK25" s="181">
        <f t="shared" si="17"/>
        <v>39.948</v>
      </c>
      <c r="AM25" s="181">
        <f t="shared" si="4"/>
        <v>44.009799999999998</v>
      </c>
      <c r="AO25" s="168">
        <v>1069.5</v>
      </c>
      <c r="AQ25" s="182">
        <f t="shared" si="0"/>
        <v>775.81530000000009</v>
      </c>
      <c r="AS25" s="168">
        <v>87.73</v>
      </c>
      <c r="AU25" s="168">
        <f t="shared" si="5"/>
        <v>547.4</v>
      </c>
      <c r="AW25" s="182">
        <f t="shared" si="1"/>
        <v>397.08395999999999</v>
      </c>
      <c r="AY25" s="183">
        <v>0.20300000000000001</v>
      </c>
      <c r="BA25" s="183">
        <f t="shared" si="6"/>
        <v>0.14725620000000003</v>
      </c>
      <c r="BC25" s="183">
        <v>0.158</v>
      </c>
      <c r="BE25" s="183">
        <f t="shared" si="7"/>
        <v>0.11461320000000001</v>
      </c>
      <c r="BF25" s="183">
        <f t="shared" si="8"/>
        <v>1.2848101265822787</v>
      </c>
      <c r="BH25" s="183">
        <f t="shared" si="2"/>
        <v>9.3200126582278497E-3</v>
      </c>
      <c r="BJ25" s="183">
        <v>0</v>
      </c>
      <c r="BL25" s="183">
        <f t="shared" si="9"/>
        <v>0</v>
      </c>
      <c r="BN25" s="183">
        <v>0</v>
      </c>
      <c r="BP25" s="183">
        <f t="shared" si="10"/>
        <v>0</v>
      </c>
      <c r="BR25" s="181">
        <f t="shared" si="3"/>
        <v>31.92470892</v>
      </c>
      <c r="BS25" s="184" t="s">
        <v>451</v>
      </c>
      <c r="BT25" s="185">
        <v>0.72540000000000004</v>
      </c>
      <c r="BU25" s="168" t="s">
        <v>236</v>
      </c>
    </row>
    <row r="26" spans="1:74" s="168" customFormat="1">
      <c r="A26" s="172" t="s">
        <v>411</v>
      </c>
      <c r="AM26" s="181"/>
      <c r="AQ26" s="182"/>
      <c r="AW26" s="182"/>
      <c r="AY26" s="182"/>
      <c r="BA26" s="182"/>
      <c r="BC26" s="182"/>
      <c r="BE26" s="182"/>
      <c r="BF26" s="182"/>
      <c r="BH26" s="182"/>
      <c r="BJ26" s="182"/>
      <c r="BL26" s="182"/>
      <c r="BN26" s="182"/>
      <c r="BP26" s="182"/>
      <c r="BR26" s="181"/>
      <c r="BS26" s="169"/>
      <c r="BT26" s="187">
        <f>SUM(BT5:BT25)/100</f>
        <v>1.0000010000000001</v>
      </c>
      <c r="BU26" s="168" t="s">
        <v>179</v>
      </c>
    </row>
    <row r="27" spans="1:74" s="168" customFormat="1">
      <c r="A27" s="172" t="s">
        <v>288</v>
      </c>
      <c r="D27" s="169" t="s">
        <v>135</v>
      </c>
      <c r="E27" s="168">
        <v>1</v>
      </c>
      <c r="G27" s="181">
        <f>SUM(E5:E25)*G5</f>
        <v>792.726</v>
      </c>
      <c r="I27" s="169" t="s">
        <v>136</v>
      </c>
      <c r="J27" s="168">
        <v>0</v>
      </c>
      <c r="L27" s="181">
        <f>SUM(J5:J25)*L5</f>
        <v>159.25452000000001</v>
      </c>
      <c r="N27" s="168" t="s">
        <v>137</v>
      </c>
      <c r="O27" s="168">
        <v>2</v>
      </c>
      <c r="Q27" s="181">
        <f>SUM(O5:O25)*Q5</f>
        <v>95.996399999999994</v>
      </c>
      <c r="S27" s="168" t="s">
        <v>138</v>
      </c>
      <c r="T27" s="168">
        <v>0</v>
      </c>
      <c r="V27" s="181">
        <f>SUM(T5:T25)*V5</f>
        <v>32.066000000000003</v>
      </c>
      <c r="X27" s="168" t="s">
        <v>139</v>
      </c>
      <c r="Y27" s="168">
        <v>0</v>
      </c>
      <c r="AA27" s="181">
        <f>SUM(Y5:Y25)*AA5</f>
        <v>28.013480000000001</v>
      </c>
      <c r="AC27" s="168" t="s">
        <v>140</v>
      </c>
      <c r="AD27" s="168">
        <v>0</v>
      </c>
      <c r="AF27" s="181">
        <f>SUM(AD5:AD25)*AF5</f>
        <v>4.0026020000000004</v>
      </c>
      <c r="AH27" s="168" t="s">
        <v>141</v>
      </c>
      <c r="AI27" s="168">
        <v>0</v>
      </c>
      <c r="AK27" s="181">
        <f>SUM(AI5:AI25)*AK5</f>
        <v>39.948</v>
      </c>
      <c r="AM27" s="181">
        <f>SUM(AM5:AM25)</f>
        <v>1152.0070020000001</v>
      </c>
      <c r="AQ27" s="182"/>
      <c r="AW27" s="182"/>
      <c r="AY27" s="182"/>
      <c r="BA27" s="182"/>
      <c r="BC27" s="182"/>
      <c r="BE27" s="182"/>
      <c r="BF27" s="182"/>
      <c r="BH27" s="182"/>
      <c r="BJ27" s="182"/>
      <c r="BL27" s="182"/>
      <c r="BN27" s="182"/>
      <c r="BP27" s="182"/>
      <c r="BR27" s="188">
        <f>SUM(BR5:BR25)/100</f>
        <v>16.797305410120003</v>
      </c>
      <c r="BS27" s="184" t="s">
        <v>424</v>
      </c>
      <c r="BT27" s="187">
        <f>BR27</f>
        <v>16.797305410120003</v>
      </c>
      <c r="BU27" s="189" t="s">
        <v>178</v>
      </c>
    </row>
    <row r="28" spans="1:74" s="168" customFormat="1">
      <c r="A28" s="172" t="s">
        <v>251</v>
      </c>
      <c r="D28" s="169"/>
      <c r="G28" s="181"/>
      <c r="I28" s="169"/>
      <c r="L28" s="181"/>
      <c r="Q28" s="181"/>
      <c r="V28" s="181"/>
      <c r="AA28" s="181"/>
      <c r="AF28" s="181"/>
      <c r="AK28" s="181"/>
      <c r="AQ28" s="182"/>
      <c r="AW28" s="182"/>
      <c r="AY28" s="182"/>
      <c r="BC28" s="182"/>
      <c r="BF28" s="182"/>
      <c r="BS28" s="184" t="s">
        <v>425</v>
      </c>
      <c r="BT28" s="187">
        <f>BT27/(0.2095*AM22+0.7805*AM21)</f>
        <v>0.58797069486505071</v>
      </c>
      <c r="BU28" s="189"/>
      <c r="BV28" s="190"/>
    </row>
    <row r="29" spans="1:74" s="168" customFormat="1" hidden="1" outlineLevel="1">
      <c r="A29" s="172" t="s">
        <v>388</v>
      </c>
      <c r="BS29" s="184" t="s">
        <v>380</v>
      </c>
      <c r="BT29" s="191">
        <v>10.731590000000001</v>
      </c>
      <c r="BU29" s="172" t="s">
        <v>381</v>
      </c>
      <c r="BV29" s="190"/>
    </row>
    <row r="30" spans="1:74" s="168" customFormat="1" collapsed="1">
      <c r="A30" s="172" t="s">
        <v>431</v>
      </c>
      <c r="D30" s="169"/>
      <c r="G30" s="181"/>
      <c r="I30" s="169"/>
      <c r="L30" s="181"/>
      <c r="Q30" s="181"/>
      <c r="V30" s="181"/>
      <c r="AA30" s="181"/>
      <c r="AF30" s="181"/>
      <c r="AK30" s="181"/>
      <c r="AM30" s="192"/>
      <c r="AQ30" s="182"/>
      <c r="AW30" s="182"/>
      <c r="AY30" s="182"/>
      <c r="BA30" s="182"/>
      <c r="BC30" s="182"/>
      <c r="BE30" s="182"/>
      <c r="BF30" s="182"/>
      <c r="BH30" s="183"/>
      <c r="BS30" s="184" t="s">
        <v>379</v>
      </c>
      <c r="BT30" s="187">
        <f>BT27*BT51/(BT29*(BT52+459.67))</f>
        <v>4.43720619394255E-2</v>
      </c>
      <c r="BU30" s="172" t="s">
        <v>382</v>
      </c>
      <c r="BV30" s="190"/>
    </row>
    <row r="31" spans="1:74" s="168" customFormat="1">
      <c r="A31" s="172" t="s">
        <v>418</v>
      </c>
      <c r="D31" s="169"/>
      <c r="G31" s="181"/>
      <c r="I31" s="169"/>
      <c r="L31" s="181"/>
      <c r="Q31" s="181"/>
      <c r="V31" s="181"/>
      <c r="AA31" s="181"/>
      <c r="AF31" s="181"/>
      <c r="AK31" s="181"/>
      <c r="AM31" s="192"/>
      <c r="AQ31" s="182"/>
      <c r="AW31" s="182"/>
      <c r="AY31" s="182"/>
      <c r="BA31" s="182"/>
      <c r="BC31" s="182"/>
      <c r="BE31" s="182"/>
      <c r="BF31" s="182"/>
      <c r="BH31" s="183"/>
      <c r="BJ31" s="183">
        <f>SUM(BJ5:BJ25)</f>
        <v>52398.611999999994</v>
      </c>
      <c r="BL31" s="183">
        <f>SUM(BL5:BL25)</f>
        <v>1023.7677959000002</v>
      </c>
      <c r="BS31" s="184" t="s">
        <v>421</v>
      </c>
      <c r="BT31" s="187">
        <f>BL31</f>
        <v>1023.7677959000002</v>
      </c>
      <c r="BU31" s="189" t="s">
        <v>414</v>
      </c>
      <c r="BV31" s="190"/>
    </row>
    <row r="32" spans="1:74" s="168" customFormat="1">
      <c r="A32" s="172" t="s">
        <v>419</v>
      </c>
      <c r="D32" s="169"/>
      <c r="G32" s="181"/>
      <c r="I32" s="169"/>
      <c r="L32" s="181"/>
      <c r="Q32" s="181"/>
      <c r="V32" s="181"/>
      <c r="AA32" s="181"/>
      <c r="AF32" s="181"/>
      <c r="AK32" s="181"/>
      <c r="AM32" s="192"/>
      <c r="AQ32" s="182"/>
      <c r="AW32" s="182"/>
      <c r="AY32" s="182"/>
      <c r="BA32" s="182"/>
      <c r="BC32" s="182"/>
      <c r="BE32" s="182"/>
      <c r="BF32" s="182"/>
      <c r="BH32" s="183"/>
      <c r="BN32" s="183">
        <f>SUM(BN5:BN25)</f>
        <v>48422.23</v>
      </c>
      <c r="BP32" s="183">
        <f>SUM(BP5:BP25)</f>
        <v>922.66626419999989</v>
      </c>
      <c r="BR32" s="183"/>
      <c r="BS32" s="184" t="s">
        <v>422</v>
      </c>
      <c r="BT32" s="187">
        <f>BP32</f>
        <v>922.66626419999989</v>
      </c>
      <c r="BU32" s="189" t="s">
        <v>414</v>
      </c>
      <c r="BV32" s="190"/>
    </row>
    <row r="33" spans="1:74" s="168" customFormat="1">
      <c r="A33" s="172" t="s">
        <v>423</v>
      </c>
      <c r="D33" s="169"/>
      <c r="G33" s="181"/>
      <c r="I33" s="169"/>
      <c r="L33" s="181"/>
      <c r="Q33" s="181"/>
      <c r="V33" s="181"/>
      <c r="AA33" s="181"/>
      <c r="AF33" s="181"/>
      <c r="AK33" s="181"/>
      <c r="AM33" s="192"/>
      <c r="AQ33" s="182"/>
      <c r="AW33" s="182"/>
      <c r="AY33" s="182"/>
      <c r="BA33" s="182"/>
      <c r="BC33" s="182"/>
      <c r="BE33" s="182"/>
      <c r="BF33" s="182"/>
      <c r="BH33" s="183"/>
      <c r="BS33" s="184" t="s">
        <v>421</v>
      </c>
      <c r="BT33" s="187">
        <f>BT31/BT30</f>
        <v>23072.351185698702</v>
      </c>
      <c r="BU33" s="189" t="s">
        <v>426</v>
      </c>
      <c r="BV33" s="190"/>
    </row>
    <row r="34" spans="1:74" s="168" customFormat="1">
      <c r="A34" s="172" t="s">
        <v>420</v>
      </c>
      <c r="D34" s="169"/>
      <c r="G34" s="181"/>
      <c r="I34" s="169"/>
      <c r="L34" s="181"/>
      <c r="Q34" s="181"/>
      <c r="V34" s="181"/>
      <c r="AA34" s="181"/>
      <c r="AF34" s="181"/>
      <c r="AK34" s="181"/>
      <c r="AM34" s="192"/>
      <c r="AQ34" s="182"/>
      <c r="AW34" s="182"/>
      <c r="AY34" s="182"/>
      <c r="BA34" s="182"/>
      <c r="BC34" s="182"/>
      <c r="BE34" s="182"/>
      <c r="BF34" s="182"/>
      <c r="BH34" s="183"/>
      <c r="BS34" s="184" t="s">
        <v>422</v>
      </c>
      <c r="BT34" s="187">
        <f>BT32/BT30</f>
        <v>20793.855950610934</v>
      </c>
      <c r="BU34" s="189" t="s">
        <v>426</v>
      </c>
      <c r="BV34" s="190"/>
    </row>
    <row r="35" spans="1:74" s="168" customFormat="1">
      <c r="A35" s="192" t="s">
        <v>402</v>
      </c>
      <c r="D35" s="169"/>
      <c r="G35" s="181"/>
      <c r="I35" s="169"/>
      <c r="L35" s="181"/>
      <c r="Q35" s="181"/>
      <c r="V35" s="181"/>
      <c r="AA35" s="181"/>
      <c r="AF35" s="181"/>
      <c r="AK35" s="181"/>
      <c r="AQ35" s="182">
        <f>SUM(AQ5:AQ25)/100</f>
        <v>669.32864810000001</v>
      </c>
      <c r="AW35" s="182"/>
      <c r="AY35" s="182"/>
      <c r="BA35" s="182"/>
      <c r="BC35" s="182"/>
      <c r="BE35" s="182"/>
      <c r="BF35" s="182"/>
      <c r="BH35" s="183"/>
      <c r="BS35" s="184" t="s">
        <v>428</v>
      </c>
      <c r="BT35" s="187">
        <f>AQ35</f>
        <v>669.32864810000001</v>
      </c>
      <c r="BU35" s="189" t="s">
        <v>427</v>
      </c>
      <c r="BV35" s="190"/>
    </row>
    <row r="36" spans="1:74" s="168" customFormat="1">
      <c r="A36" s="192" t="s">
        <v>403</v>
      </c>
      <c r="D36" s="169"/>
      <c r="G36" s="181"/>
      <c r="I36" s="169"/>
      <c r="L36" s="181"/>
      <c r="Q36" s="181"/>
      <c r="V36" s="181"/>
      <c r="AA36" s="181"/>
      <c r="AF36" s="181"/>
      <c r="AK36" s="181"/>
      <c r="AM36" s="192"/>
      <c r="AQ36" s="182"/>
      <c r="AW36" s="182">
        <f>SUM(AW5:AW25)/100</f>
        <v>350.22022951000008</v>
      </c>
      <c r="AY36" s="182"/>
      <c r="BA36" s="182"/>
      <c r="BC36" s="182"/>
      <c r="BE36" s="182"/>
      <c r="BF36" s="182"/>
      <c r="BH36" s="183"/>
      <c r="BS36" s="184" t="s">
        <v>429</v>
      </c>
      <c r="BT36" s="187">
        <f>AW36</f>
        <v>350.22022951000008</v>
      </c>
      <c r="BU36" s="189" t="s">
        <v>432</v>
      </c>
      <c r="BV36" s="190"/>
    </row>
    <row r="37" spans="1:74" s="168" customFormat="1">
      <c r="A37" s="192" t="s">
        <v>401</v>
      </c>
      <c r="D37" s="169"/>
      <c r="G37" s="181"/>
      <c r="I37" s="169"/>
      <c r="L37" s="181"/>
      <c r="Q37" s="181"/>
      <c r="V37" s="181"/>
      <c r="AA37" s="181"/>
      <c r="AF37" s="181"/>
      <c r="AK37" s="181"/>
      <c r="AM37" s="192"/>
      <c r="AQ37" s="182"/>
      <c r="AS37" s="182">
        <f>AW36-459.67</f>
        <v>-109.44977048999993</v>
      </c>
      <c r="AW37" s="182"/>
      <c r="AY37" s="182"/>
      <c r="BA37" s="182"/>
      <c r="BC37" s="182"/>
      <c r="BE37" s="182"/>
      <c r="BF37" s="182"/>
      <c r="BH37" s="183">
        <f>SUM(BH5:BH25)</f>
        <v>1.3183436572830409</v>
      </c>
      <c r="BS37" s="184" t="s">
        <v>354</v>
      </c>
      <c r="BT37" s="187">
        <f>BH37</f>
        <v>1.3183436572830409</v>
      </c>
      <c r="BU37" s="172"/>
      <c r="BV37" s="190"/>
    </row>
    <row r="38" spans="1:74" s="168" customFormat="1">
      <c r="A38" s="172"/>
      <c r="AW38" s="182"/>
      <c r="AY38" s="182"/>
      <c r="BA38" s="182"/>
      <c r="BC38" s="182"/>
      <c r="BE38" s="182"/>
      <c r="BF38" s="182"/>
      <c r="BH38" s="182"/>
      <c r="BJ38" s="182"/>
      <c r="BL38" s="182"/>
      <c r="BN38" s="182"/>
      <c r="BP38" s="182"/>
      <c r="BR38" s="182"/>
      <c r="BS38" s="169"/>
    </row>
    <row r="39" spans="1:74" s="168" customFormat="1">
      <c r="A39" s="171" t="s">
        <v>286</v>
      </c>
      <c r="AY39" s="182"/>
      <c r="BA39" s="182"/>
      <c r="BC39" s="182"/>
      <c r="BE39" s="182"/>
      <c r="BF39" s="182"/>
      <c r="BH39" s="182"/>
      <c r="BJ39" s="182"/>
      <c r="BL39" s="182"/>
      <c r="BN39" s="182"/>
      <c r="BP39" s="182"/>
      <c r="BR39" s="182"/>
      <c r="BS39" s="169"/>
      <c r="BT39" s="193"/>
    </row>
    <row r="40" spans="1:74" s="168" customFormat="1">
      <c r="A40" s="172" t="s">
        <v>237</v>
      </c>
      <c r="AM40" s="192"/>
      <c r="BS40" s="184" t="s">
        <v>356</v>
      </c>
      <c r="BT40" s="194">
        <v>6855</v>
      </c>
      <c r="BU40" s="172" t="s">
        <v>215</v>
      </c>
    </row>
    <row r="41" spans="1:74" s="168" customFormat="1">
      <c r="A41" s="172" t="s">
        <v>238</v>
      </c>
      <c r="AM41" s="181"/>
      <c r="BS41" s="184" t="s">
        <v>308</v>
      </c>
      <c r="BT41" s="195">
        <f>14.54*((55096-(BT40-361))/(55096+(BT40-361)))</f>
        <v>11.4738282188667</v>
      </c>
      <c r="BU41" s="172" t="s">
        <v>240</v>
      </c>
      <c r="BV41" s="190"/>
    </row>
    <row r="42" spans="1:74" s="168" customFormat="1">
      <c r="A42" s="172" t="s">
        <v>239</v>
      </c>
      <c r="AM42" s="181"/>
      <c r="BS42" s="184" t="s">
        <v>258</v>
      </c>
      <c r="BT42" s="194">
        <v>648</v>
      </c>
      <c r="BU42" s="172" t="s">
        <v>116</v>
      </c>
    </row>
    <row r="43" spans="1:74" s="168" customFormat="1">
      <c r="A43" s="172"/>
      <c r="AM43" s="181"/>
      <c r="BH43" s="184"/>
      <c r="BJ43" s="184"/>
      <c r="BL43" s="184"/>
      <c r="BN43" s="184"/>
      <c r="BP43" s="184"/>
      <c r="BR43" s="184"/>
      <c r="BS43" s="184" t="s">
        <v>311</v>
      </c>
      <c r="BT43" s="195">
        <f>BT41+BT42</f>
        <v>659.47382821886674</v>
      </c>
      <c r="BU43" s="172" t="s">
        <v>214</v>
      </c>
    </row>
    <row r="44" spans="1:74" s="168" customFormat="1">
      <c r="A44" s="172" t="s">
        <v>242</v>
      </c>
      <c r="AM44" s="181"/>
      <c r="BS44" s="184" t="s">
        <v>252</v>
      </c>
      <c r="BT44" s="194">
        <v>57.8</v>
      </c>
      <c r="BU44" s="172" t="s">
        <v>133</v>
      </c>
    </row>
    <row r="45" spans="1:74" s="168" customFormat="1">
      <c r="A45" s="172" t="s">
        <v>243</v>
      </c>
      <c r="AM45" s="181"/>
      <c r="BS45" s="184" t="s">
        <v>335</v>
      </c>
      <c r="BT45" s="196">
        <f>'Z Calculation Method 1'!E91</f>
        <v>0.90796629601053191</v>
      </c>
      <c r="BU45" s="172" t="s">
        <v>245</v>
      </c>
    </row>
    <row r="46" spans="1:74" s="168" customFormat="1">
      <c r="A46" s="172" t="s">
        <v>243</v>
      </c>
      <c r="AM46" s="181"/>
      <c r="BS46" s="184" t="s">
        <v>335</v>
      </c>
      <c r="BT46" s="197">
        <f>'Z Calculation Method 2'!B26</f>
        <v>0.90526730159158963</v>
      </c>
      <c r="BU46" s="172" t="s">
        <v>246</v>
      </c>
    </row>
    <row r="47" spans="1:74" s="168" customFormat="1">
      <c r="A47" s="172" t="s">
        <v>289</v>
      </c>
      <c r="BS47" s="184" t="s">
        <v>280</v>
      </c>
      <c r="BT47" s="198">
        <v>68</v>
      </c>
      <c r="BU47" s="172" t="s">
        <v>133</v>
      </c>
    </row>
    <row r="48" spans="1:74" s="168" customFormat="1">
      <c r="A48" s="172" t="s">
        <v>248</v>
      </c>
      <c r="BS48" s="184" t="s">
        <v>310</v>
      </c>
      <c r="BT48" s="199">
        <v>15.375999999999999</v>
      </c>
      <c r="BU48" s="172" t="s">
        <v>249</v>
      </c>
    </row>
    <row r="49" spans="1:74" s="168" customFormat="1">
      <c r="A49" s="172" t="s">
        <v>250</v>
      </c>
      <c r="BS49" s="184" t="s">
        <v>309</v>
      </c>
      <c r="BT49" s="200">
        <v>11.25</v>
      </c>
      <c r="BU49" s="172" t="s">
        <v>249</v>
      </c>
    </row>
    <row r="50" spans="1:74" s="168" customFormat="1">
      <c r="A50" s="172" t="s">
        <v>274</v>
      </c>
      <c r="BS50" s="184" t="s">
        <v>275</v>
      </c>
      <c r="BT50" s="201">
        <f>BT49/BT48</f>
        <v>0.73165972944849123</v>
      </c>
      <c r="BU50" s="172"/>
      <c r="BV50" s="190"/>
    </row>
    <row r="51" spans="1:74" s="168" customFormat="1">
      <c r="A51" s="172" t="s">
        <v>256</v>
      </c>
      <c r="BS51" s="184" t="s">
        <v>253</v>
      </c>
      <c r="BT51" s="202">
        <v>14.731999999999999</v>
      </c>
      <c r="BU51" s="172" t="s">
        <v>214</v>
      </c>
    </row>
    <row r="52" spans="1:74" s="168" customFormat="1">
      <c r="A52" s="172" t="s">
        <v>257</v>
      </c>
      <c r="BS52" s="184" t="s">
        <v>254</v>
      </c>
      <c r="BT52" s="202">
        <v>60</v>
      </c>
      <c r="BU52" s="172" t="s">
        <v>133</v>
      </c>
    </row>
    <row r="53" spans="1:74" s="168" customFormat="1">
      <c r="A53" s="172" t="s">
        <v>371</v>
      </c>
      <c r="BS53" s="184" t="s">
        <v>329</v>
      </c>
      <c r="BT53" s="202">
        <v>0.99784499999999998</v>
      </c>
      <c r="BU53" s="172"/>
    </row>
    <row r="54" spans="1:74" s="168" customFormat="1">
      <c r="A54" s="172" t="s">
        <v>260</v>
      </c>
      <c r="BS54" s="184" t="s">
        <v>259</v>
      </c>
      <c r="BT54" s="202">
        <v>147.66</v>
      </c>
      <c r="BU54" s="172" t="s">
        <v>261</v>
      </c>
    </row>
    <row r="55" spans="1:74" s="168" customFormat="1">
      <c r="A55" s="172" t="s">
        <v>386</v>
      </c>
      <c r="AQ55" s="203"/>
      <c r="AR55" s="204"/>
      <c r="BG55" s="184"/>
      <c r="BI55" s="184"/>
      <c r="BK55" s="184"/>
      <c r="BM55" s="184"/>
      <c r="BO55" s="184"/>
      <c r="BQ55" s="184"/>
      <c r="BS55" s="184"/>
      <c r="BT55" s="205" t="s">
        <v>355</v>
      </c>
      <c r="BU55" s="172" t="s">
        <v>362</v>
      </c>
    </row>
    <row r="56" spans="1:74" s="168" customFormat="1" hidden="1" outlineLevel="1">
      <c r="A56" s="172" t="s">
        <v>331</v>
      </c>
      <c r="BG56" s="184"/>
      <c r="BI56" s="184"/>
      <c r="BK56" s="184"/>
      <c r="BM56" s="184"/>
      <c r="BO56" s="184"/>
      <c r="BQ56" s="184"/>
      <c r="BS56" s="184" t="s">
        <v>275</v>
      </c>
      <c r="BT56" s="206">
        <f>IF(BT55="Flange",1,0)*530/SQRT(BT48)+IF(BT55="Flange",0,1)*(75+875/BT48)</f>
        <v>135.16186773300331</v>
      </c>
      <c r="BU56" s="172"/>
      <c r="BV56" s="190"/>
    </row>
    <row r="57" spans="1:74" s="168" customFormat="1" hidden="1" outlineLevel="1">
      <c r="A57" s="172" t="s">
        <v>330</v>
      </c>
      <c r="BG57" s="184"/>
      <c r="BI57" s="184"/>
      <c r="BK57" s="184"/>
      <c r="BM57" s="184"/>
      <c r="BO57" s="184"/>
      <c r="BQ57" s="184"/>
      <c r="BS57" s="184" t="s">
        <v>285</v>
      </c>
      <c r="BT57" s="206">
        <f>BT49*(830-5000*BT50+9000*BT50^2-4200*BT50^3+BT56)</f>
        <v>5397.2525366891414</v>
      </c>
      <c r="BU57" s="172"/>
    </row>
    <row r="58" spans="1:74" s="168" customFormat="1" hidden="1" outlineLevel="1">
      <c r="A58" s="172" t="s">
        <v>373</v>
      </c>
      <c r="BG58" s="184"/>
      <c r="BI58" s="184"/>
      <c r="BK58" s="184"/>
      <c r="BM58" s="184"/>
      <c r="BO58" s="184"/>
      <c r="BQ58" s="184"/>
      <c r="BS58" s="184" t="s">
        <v>336</v>
      </c>
      <c r="BT58" s="207">
        <f>0.5993+0.007/BT48</f>
        <v>0.59975525494276805</v>
      </c>
      <c r="BU58" s="172"/>
      <c r="BV58" s="182"/>
    </row>
    <row r="59" spans="1:74" s="168" customFormat="1" hidden="1" outlineLevel="1">
      <c r="A59" s="172" t="s">
        <v>373</v>
      </c>
      <c r="BG59" s="184"/>
      <c r="BI59" s="184"/>
      <c r="BK59" s="184"/>
      <c r="BM59" s="184"/>
      <c r="BO59" s="184"/>
      <c r="BQ59" s="184"/>
      <c r="BS59" s="184" t="s">
        <v>337</v>
      </c>
      <c r="BT59" s="207">
        <f>BT58+(0.364+(0.076/SQRT(BT48)))*BT50^4</f>
        <v>0.70962243794331192</v>
      </c>
      <c r="BU59" s="172"/>
      <c r="BV59" s="182"/>
    </row>
    <row r="60" spans="1:74" s="168" customFormat="1" hidden="1" outlineLevel="1">
      <c r="A60" s="172" t="s">
        <v>373</v>
      </c>
      <c r="BG60" s="184"/>
      <c r="BI60" s="184"/>
      <c r="BK60" s="184"/>
      <c r="BM60" s="184"/>
      <c r="BO60" s="184"/>
      <c r="BQ60" s="184"/>
      <c r="BS60" s="184" t="s">
        <v>338</v>
      </c>
      <c r="BT60" s="207">
        <f>0.4*(1.6-1/BT48)^5</f>
        <v>3.4083985198437783</v>
      </c>
      <c r="BU60" s="172"/>
      <c r="BV60" s="182"/>
    </row>
    <row r="61" spans="1:74" s="168" customFormat="1" hidden="1" outlineLevel="1">
      <c r="A61" s="172" t="s">
        <v>373</v>
      </c>
      <c r="BG61" s="184"/>
      <c r="BI61" s="184"/>
      <c r="BK61" s="184"/>
      <c r="BM61" s="184"/>
      <c r="BO61" s="184"/>
      <c r="BQ61" s="184"/>
      <c r="BS61" s="184" t="s">
        <v>339</v>
      </c>
      <c r="BT61" s="207">
        <f>IF((0.07+0.5/BT48)&gt;BT50,BT60*((0.07+(0.5/BT48)-BT50))^(5/2),0)</f>
        <v>0</v>
      </c>
      <c r="BU61" s="172"/>
      <c r="BV61" s="182"/>
    </row>
    <row r="62" spans="1:74" s="168" customFormat="1" hidden="1" outlineLevel="1">
      <c r="A62" s="172" t="s">
        <v>373</v>
      </c>
      <c r="BG62" s="184"/>
      <c r="BI62" s="184"/>
      <c r="BK62" s="184"/>
      <c r="BM62" s="184"/>
      <c r="BO62" s="184"/>
      <c r="BQ62" s="184"/>
      <c r="BS62" s="184" t="s">
        <v>340</v>
      </c>
      <c r="BT62" s="207">
        <f>0.07+0.5/BT48</f>
        <v>0.10251821019771074</v>
      </c>
      <c r="BU62" s="172"/>
      <c r="BV62" s="182"/>
    </row>
    <row r="63" spans="1:74" s="168" customFormat="1" hidden="1" outlineLevel="1">
      <c r="A63" s="172" t="s">
        <v>373</v>
      </c>
      <c r="BG63" s="184"/>
      <c r="BI63" s="184"/>
      <c r="BK63" s="184"/>
      <c r="BM63" s="184"/>
      <c r="BO63" s="184"/>
      <c r="BQ63" s="184"/>
      <c r="BS63" s="184" t="s">
        <v>341</v>
      </c>
      <c r="BT63" s="207">
        <f>-(0.009+0.034/BT48)</f>
        <v>-1.1211238293444328E-2</v>
      </c>
      <c r="BU63" s="172"/>
      <c r="BV63" s="182"/>
    </row>
    <row r="64" spans="1:74" s="168" customFormat="1" hidden="1" outlineLevel="1">
      <c r="A64" s="172" t="s">
        <v>373</v>
      </c>
      <c r="BG64" s="184"/>
      <c r="BI64" s="184"/>
      <c r="BK64" s="184"/>
      <c r="BM64" s="184"/>
      <c r="BO64" s="184"/>
      <c r="BQ64" s="184"/>
      <c r="BS64" s="184" t="s">
        <v>342</v>
      </c>
      <c r="BT64" s="207">
        <f>IF(0.5&gt;BT50,BT63*(0.5-BT50)^(3/2),0)</f>
        <v>0</v>
      </c>
      <c r="BU64" s="172"/>
      <c r="BV64" s="182"/>
    </row>
    <row r="65" spans="1:74" s="168" customFormat="1" hidden="1" outlineLevel="1">
      <c r="A65" s="172" t="s">
        <v>373</v>
      </c>
      <c r="BG65" s="184"/>
      <c r="BI65" s="184"/>
      <c r="BK65" s="184"/>
      <c r="BM65" s="184"/>
      <c r="BO65" s="184"/>
      <c r="BQ65" s="184"/>
      <c r="BS65" s="184" t="s">
        <v>343</v>
      </c>
      <c r="BT65" s="207">
        <f>IF(BT50&gt;0.7,((65/BT48^2)+3)*(BT50-0.7)^(5/2),0)</f>
        <v>5.840773918209919E-4</v>
      </c>
      <c r="BU65" s="172"/>
      <c r="BV65" s="182"/>
    </row>
    <row r="66" spans="1:74" s="168" customFormat="1" hidden="1" outlineLevel="1">
      <c r="A66" s="172" t="s">
        <v>347</v>
      </c>
      <c r="BG66" s="184"/>
      <c r="BI66" s="184"/>
      <c r="BK66" s="184"/>
      <c r="BM66" s="184"/>
      <c r="BO66" s="184"/>
      <c r="BQ66" s="184"/>
      <c r="BS66" s="169" t="s">
        <v>337</v>
      </c>
      <c r="BT66" s="207">
        <f>BT59+BT61-BT64+BT65</f>
        <v>0.7102065153351329</v>
      </c>
      <c r="BU66" s="172"/>
      <c r="BV66" s="182"/>
    </row>
    <row r="67" spans="1:74" s="168" customFormat="1" hidden="1" outlineLevel="1">
      <c r="A67" s="172" t="s">
        <v>374</v>
      </c>
      <c r="BG67" s="184"/>
      <c r="BI67" s="184"/>
      <c r="BK67" s="184"/>
      <c r="BM67" s="184"/>
      <c r="BO67" s="184"/>
      <c r="BQ67" s="184"/>
      <c r="BS67" s="184" t="s">
        <v>344</v>
      </c>
      <c r="BT67" s="207">
        <f>0.5925+0.0182/BT48</f>
        <v>0.59368366285119667</v>
      </c>
      <c r="BU67" s="172"/>
      <c r="BV67" s="182"/>
    </row>
    <row r="68" spans="1:74" s="168" customFormat="1" hidden="1" outlineLevel="1">
      <c r="A68" s="172" t="s">
        <v>374</v>
      </c>
      <c r="BG68" s="184"/>
      <c r="BI68" s="184"/>
      <c r="BK68" s="184"/>
      <c r="BM68" s="184"/>
      <c r="BO68" s="184"/>
      <c r="BQ68" s="184"/>
      <c r="BS68" s="184" t="s">
        <v>348</v>
      </c>
      <c r="BT68" s="208">
        <f>BT67+(0.44-0.06/BT48)*BT50^2</f>
        <v>0.82713814406791331</v>
      </c>
      <c r="BU68" s="172"/>
      <c r="BV68" s="182"/>
    </row>
    <row r="69" spans="1:74" s="168" customFormat="1" hidden="1" outlineLevel="1">
      <c r="A69" s="172" t="s">
        <v>374</v>
      </c>
      <c r="BG69" s="184"/>
      <c r="BI69" s="184"/>
      <c r="BK69" s="184"/>
      <c r="BM69" s="184"/>
      <c r="BO69" s="184"/>
      <c r="BQ69" s="184"/>
      <c r="BS69" s="184" t="s">
        <v>345</v>
      </c>
      <c r="BT69" s="208">
        <f>+(0.935+0.225/BT48)*BT50^5+1.35*BT50^14</f>
        <v>0.21612227033630665</v>
      </c>
      <c r="BU69" s="172"/>
      <c r="BV69" s="182"/>
    </row>
    <row r="70" spans="1:74" s="168" customFormat="1" hidden="1" outlineLevel="1">
      <c r="A70" s="172" t="s">
        <v>374</v>
      </c>
      <c r="BS70" s="169" t="s">
        <v>346</v>
      </c>
      <c r="BT70" s="209">
        <f>IF(0.25&gt;BT50,(1.43*(0.25-BT50)^(5/2))/SQRT(BT48),0)</f>
        <v>0</v>
      </c>
      <c r="BU70" s="172"/>
      <c r="BV70" s="182"/>
    </row>
    <row r="71" spans="1:74" s="168" customFormat="1" hidden="1" outlineLevel="1">
      <c r="A71" s="172" t="s">
        <v>347</v>
      </c>
      <c r="BS71" s="169" t="s">
        <v>349</v>
      </c>
      <c r="BT71" s="209">
        <f>BT68+BT69+BT70</f>
        <v>1.0432604144042199</v>
      </c>
      <c r="BU71" s="172"/>
      <c r="BV71" s="182"/>
    </row>
    <row r="72" spans="1:74" s="168" customFormat="1" hidden="1" outlineLevel="1">
      <c r="A72" s="172" t="s">
        <v>372</v>
      </c>
      <c r="BG72" s="184"/>
      <c r="BI72" s="184"/>
      <c r="BK72" s="184"/>
      <c r="BM72" s="184"/>
      <c r="BO72" s="184"/>
      <c r="BQ72" s="184"/>
      <c r="BS72" s="184" t="s">
        <v>332</v>
      </c>
      <c r="BT72" s="208">
        <f>IF(BT55="Flange",BT66,BT71)</f>
        <v>0.7102065153351329</v>
      </c>
      <c r="BU72" s="172"/>
      <c r="BV72" s="182"/>
    </row>
    <row r="73" spans="1:74" s="168" customFormat="1" hidden="1" outlineLevel="1">
      <c r="A73" s="172" t="s">
        <v>333</v>
      </c>
      <c r="BG73" s="184"/>
      <c r="BI73" s="184"/>
      <c r="BK73" s="184"/>
      <c r="BM73" s="184"/>
      <c r="BO73" s="184"/>
      <c r="BQ73" s="184"/>
      <c r="BS73" s="184" t="s">
        <v>334</v>
      </c>
      <c r="BT73" s="207">
        <f>BT72/(1+(15*BT57/(1000000*BT49)))</f>
        <v>0.70513214697650617</v>
      </c>
      <c r="BU73" s="172"/>
      <c r="BV73" s="182"/>
    </row>
    <row r="74" spans="1:74" s="168" customFormat="1" collapsed="1">
      <c r="A74" s="172" t="s">
        <v>358</v>
      </c>
      <c r="BG74" s="184"/>
      <c r="BI74" s="184"/>
      <c r="BK74" s="184"/>
      <c r="BM74" s="184"/>
      <c r="BO74" s="184"/>
      <c r="BQ74" s="184"/>
      <c r="BS74" s="184" t="s">
        <v>255</v>
      </c>
      <c r="BT74" s="210">
        <f>218.573*((BT52+459.67)/BT51)*SQRT(1/(BT52+459.67))*SQRT(BT53)*BT49^2*BT73</f>
        <v>30151.278232940225</v>
      </c>
      <c r="BU74" s="172"/>
      <c r="BV74" s="182"/>
    </row>
    <row r="75" spans="1:74" s="168" customFormat="1">
      <c r="A75" s="172" t="s">
        <v>264</v>
      </c>
      <c r="BS75" s="184" t="s">
        <v>262</v>
      </c>
      <c r="BT75" s="190">
        <f>14.732/BT51</f>
        <v>1</v>
      </c>
    </row>
    <row r="76" spans="1:74" s="168" customFormat="1">
      <c r="A76" s="172" t="s">
        <v>263</v>
      </c>
      <c r="BS76" s="184" t="s">
        <v>265</v>
      </c>
      <c r="BT76" s="190">
        <f>SQRT((459.67+60)/(459.67+BT44))</f>
        <v>1.002123472527503</v>
      </c>
    </row>
    <row r="77" spans="1:74" s="168" customFormat="1">
      <c r="A77" s="172" t="s">
        <v>266</v>
      </c>
      <c r="BS77" s="184" t="s">
        <v>267</v>
      </c>
      <c r="BT77" s="190">
        <f>SQRT(BT53/BT46)</f>
        <v>1.0498883722048686</v>
      </c>
    </row>
    <row r="78" spans="1:74" s="168" customFormat="1">
      <c r="A78" s="172" t="s">
        <v>268</v>
      </c>
      <c r="BS78" s="184" t="s">
        <v>269</v>
      </c>
      <c r="BT78" s="190">
        <f>SQRT(1/BT28)</f>
        <v>1.3041338259425335</v>
      </c>
    </row>
    <row r="79" spans="1:74" s="168" customFormat="1" hidden="1" outlineLevel="1">
      <c r="A79" s="172" t="s">
        <v>350</v>
      </c>
      <c r="BS79" s="184" t="s">
        <v>360</v>
      </c>
      <c r="BT79" s="209">
        <f>IF(BT55="Flange",1*((0.481*BT50^2)-(0.214*BT50)+0.621)+0*((0.496*BT50^2)-0.232*BT50+0.625),0*((0.481*BT50^2)-(0.214*BT50)+0.621)+1*((0.496*BT50^2)-0.232*BT50+0.625))</f>
        <v>0.72191660451210637</v>
      </c>
    </row>
    <row r="80" spans="1:74" s="168" customFormat="1" collapsed="1">
      <c r="A80" s="172" t="s">
        <v>351</v>
      </c>
      <c r="BS80" s="184" t="s">
        <v>352</v>
      </c>
      <c r="BT80" s="211">
        <f>12835*BT49*BT79*SQRT(BT54*BT43)</f>
        <v>32528620.135656603</v>
      </c>
    </row>
    <row r="81" spans="1:73" s="168" customFormat="1">
      <c r="A81" s="172" t="s">
        <v>270</v>
      </c>
      <c r="BS81" s="184" t="s">
        <v>271</v>
      </c>
      <c r="BT81" s="190">
        <f>1+BT57/BT80</f>
        <v>1.0001659231936118</v>
      </c>
    </row>
    <row r="82" spans="1:73" s="168" customFormat="1" hidden="1" outlineLevel="1">
      <c r="A82" s="172" t="s">
        <v>430</v>
      </c>
      <c r="BS82" s="184" t="s">
        <v>353</v>
      </c>
      <c r="BT82" s="201">
        <f>BT54/(27.707*BT43)</f>
        <v>8.0811988711722085E-3</v>
      </c>
    </row>
    <row r="83" spans="1:73" s="168" customFormat="1" collapsed="1">
      <c r="A83" s="172" t="s">
        <v>387</v>
      </c>
      <c r="BS83" s="184"/>
      <c r="BT83" s="212" t="s">
        <v>404</v>
      </c>
      <c r="BU83" s="172" t="s">
        <v>361</v>
      </c>
    </row>
    <row r="84" spans="1:73" s="168" customFormat="1" hidden="1" outlineLevel="1">
      <c r="A84" s="172" t="s">
        <v>364</v>
      </c>
      <c r="BS84" s="184" t="s">
        <v>363</v>
      </c>
      <c r="BT84" s="190">
        <f>1-(0.41+0.35*BT50^4)*(BT82/BH37)</f>
        <v>0.99687195163136311</v>
      </c>
    </row>
    <row r="85" spans="1:73" s="168" customFormat="1" hidden="1" outlineLevel="1">
      <c r="A85" s="172" t="s">
        <v>370</v>
      </c>
      <c r="BS85" s="184" t="s">
        <v>365</v>
      </c>
      <c r="BT85" s="190">
        <f>SQRT(1+BT82)-(0.41+0.35*BT50^4)*(BT82/(BH37*SQRT(1+BT82)))</f>
        <v>1.0009169837615759</v>
      </c>
    </row>
    <row r="86" spans="1:73" s="168" customFormat="1" hidden="1" outlineLevel="1">
      <c r="A86" s="172" t="s">
        <v>366</v>
      </c>
      <c r="BS86" s="184" t="s">
        <v>367</v>
      </c>
      <c r="BT86" s="209">
        <f>1-(0.333+1.145*(BT50^2+0.7*BT50^5+12*BT50^13))*(BT82/BH37)</f>
        <v>0.99172109130500019</v>
      </c>
    </row>
    <row r="87" spans="1:73" s="168" customFormat="1" hidden="1" outlineLevel="1">
      <c r="A87" s="172" t="s">
        <v>368</v>
      </c>
      <c r="BS87" s="184" t="s">
        <v>369</v>
      </c>
      <c r="BT87" s="209">
        <f>SQRT(1+BT82)-(0.333+1.145*(BT50^2+0.7*BT50^5+12*BT50^13))*(BT82/(BH37*SQRT(1+BT82)))</f>
        <v>0.99578681069921737</v>
      </c>
    </row>
    <row r="88" spans="1:73" s="168" customFormat="1" collapsed="1">
      <c r="A88" s="172" t="s">
        <v>359</v>
      </c>
      <c r="AQ88" s="184"/>
      <c r="AR88" s="190"/>
      <c r="BS88" s="184" t="s">
        <v>273</v>
      </c>
      <c r="BT88" s="190">
        <f>IF(AND(BT55="Flange",BT83="Up"),BT84,IF(AND(BT55="Flange",BT83="Down"),BT85,IF(AND(BT55="Pipe",BT83="Up"),BT86,IF(AND(BT55="Pipe",BT83="Down"),BT87,0))))</f>
        <v>1.0009169837615759</v>
      </c>
    </row>
    <row r="89" spans="1:73" s="168" customFormat="1">
      <c r="A89" s="172" t="s">
        <v>276</v>
      </c>
      <c r="AQ89" s="184"/>
      <c r="AR89" s="190"/>
      <c r="BS89" s="184" t="s">
        <v>277</v>
      </c>
      <c r="BT89" s="201">
        <f>(459.67+BT52)/(459.67+60)</f>
        <v>1</v>
      </c>
    </row>
    <row r="90" spans="1:73" s="168" customFormat="1">
      <c r="A90" s="172" t="s">
        <v>328</v>
      </c>
      <c r="AQ90" s="184"/>
      <c r="AR90" s="190"/>
      <c r="BS90" s="184" t="s">
        <v>326</v>
      </c>
      <c r="BT90" s="213">
        <v>41.693626394699997</v>
      </c>
      <c r="BU90" s="168" t="s">
        <v>327</v>
      </c>
    </row>
    <row r="91" spans="1:73" s="168" customFormat="1">
      <c r="A91" s="172" t="s">
        <v>324</v>
      </c>
      <c r="BS91" s="184" t="s">
        <v>325</v>
      </c>
      <c r="BT91" s="190">
        <f>SQRT((980.665+0.087*(BT90-45)-0.000094*BT40)/980.665)</f>
        <v>0.99952468679003825</v>
      </c>
    </row>
    <row r="92" spans="1:73" s="168" customFormat="1">
      <c r="A92" s="172" t="s">
        <v>278</v>
      </c>
      <c r="BS92" s="184" t="s">
        <v>279</v>
      </c>
      <c r="BT92" s="190">
        <f>1+(0.0000185*(BT44-BT47))</f>
        <v>0.99981129999999996</v>
      </c>
    </row>
    <row r="93" spans="1:73" s="168" customFormat="1" ht="15.75">
      <c r="A93" s="172" t="s">
        <v>281</v>
      </c>
      <c r="BS93" s="184" t="s">
        <v>282</v>
      </c>
      <c r="BT93" s="214">
        <f>BT74*BT75*BT76*BT77*BT78*BT81*BT88*BT89*BT91*BT92</f>
        <v>41387.951008913798</v>
      </c>
    </row>
    <row r="94" spans="1:73" s="168" customFormat="1" ht="15.75">
      <c r="A94" s="172" t="s">
        <v>376</v>
      </c>
      <c r="BS94" s="184" t="s">
        <v>385</v>
      </c>
      <c r="BT94" s="215">
        <f>BT93*SQRT(BT54*BT43)</f>
        <v>12915289.36215079</v>
      </c>
      <c r="BU94" s="216" t="s">
        <v>291</v>
      </c>
    </row>
    <row r="95" spans="1:73" s="168" customFormat="1" ht="15.75">
      <c r="BS95" s="184" t="s">
        <v>385</v>
      </c>
      <c r="BT95" s="215">
        <f>BT94*24/1000</f>
        <v>309966.94469161896</v>
      </c>
      <c r="BU95" s="216" t="s">
        <v>307</v>
      </c>
    </row>
    <row r="96" spans="1:73" s="168" customFormat="1">
      <c r="A96" s="172" t="s">
        <v>406</v>
      </c>
      <c r="BS96" s="184" t="s">
        <v>405</v>
      </c>
      <c r="BT96" s="217">
        <f>(BT51/BT43)*((BT44+459.67)/(BT52+459.67))*(BT46/BT53)*BT95</f>
        <v>6255.3383695096263</v>
      </c>
      <c r="BU96" s="172" t="s">
        <v>407</v>
      </c>
    </row>
    <row r="97" spans="1:73" s="168" customFormat="1">
      <c r="A97" s="172"/>
      <c r="BS97" s="184" t="s">
        <v>405</v>
      </c>
      <c r="BT97" s="217">
        <f>BT96/(24*60/1000)</f>
        <v>4343.9849788261299</v>
      </c>
      <c r="BU97" s="172" t="s">
        <v>408</v>
      </c>
    </row>
    <row r="98" spans="1:73" s="168" customFormat="1" hidden="1" outlineLevel="1">
      <c r="A98" s="172" t="s">
        <v>378</v>
      </c>
      <c r="BS98" s="184" t="s">
        <v>379</v>
      </c>
      <c r="BT98" s="218">
        <f>BT27*BT43/(BT29*(459.67+BT44))</f>
        <v>1.9947475233229612</v>
      </c>
      <c r="BU98" s="172" t="s">
        <v>382</v>
      </c>
    </row>
    <row r="99" spans="1:73" s="168" customFormat="1" ht="15.75" collapsed="1">
      <c r="A99" s="172" t="s">
        <v>377</v>
      </c>
      <c r="BS99" s="184" t="s">
        <v>375</v>
      </c>
      <c r="BT99" s="215">
        <f>BT98*BT94</f>
        <v>25762741.468149677</v>
      </c>
      <c r="BU99" s="216" t="s">
        <v>383</v>
      </c>
    </row>
    <row r="100" spans="1:73" s="168" customFormat="1">
      <c r="BS100" s="184" t="s">
        <v>375</v>
      </c>
      <c r="BT100" s="219">
        <f>BT99*24</f>
        <v>618305795.23559225</v>
      </c>
      <c r="BU100" s="172" t="s">
        <v>384</v>
      </c>
    </row>
    <row r="108" spans="1:73" s="168" customFormat="1">
      <c r="A108" s="172"/>
      <c r="BS108" s="169"/>
    </row>
  </sheetData>
  <sheetProtection password="CF78" sheet="1" objects="1" scenarios="1"/>
  <mergeCells count="7">
    <mergeCell ref="AH4:AI4"/>
    <mergeCell ref="D4:E4"/>
    <mergeCell ref="I4:J4"/>
    <mergeCell ref="N4:O4"/>
    <mergeCell ref="S4:T4"/>
    <mergeCell ref="X4:Y4"/>
    <mergeCell ref="AC4:AD4"/>
  </mergeCells>
  <pageMargins left="0.25" right="0.25" top="0.2" bottom="0.2" header="0.3" footer="0.3"/>
  <pageSetup scale="55" orientation="landscape" r:id="rId1"/>
  <drawing r:id="rId2"/>
  <legacyDrawing r:id="rId3"/>
  <oleObjects>
    <oleObject progId="Equation.3" shapeId="49169" r:id="rId4"/>
    <oleObject progId="Equation.3" shapeId="49172" r:id="rId5"/>
    <oleObject progId="Equation.3" shapeId="49173" r:id="rId6"/>
    <oleObject progId="Equation.3" shapeId="49178" r:id="rId7"/>
    <oleObject progId="Equation.3" shapeId="49191" r:id="rId8"/>
    <oleObject progId="Equation.3" shapeId="49193" r:id="rId9"/>
    <oleObject progId="Equation.3" shapeId="49194" r:id="rId10"/>
    <oleObject progId="Equation.3" shapeId="49201" r:id="rId11"/>
    <oleObject progId="Equation.3" shapeId="49217" r:id="rId12"/>
    <oleObject progId="Equation.3" shapeId="49218" r:id="rId13"/>
    <oleObject progId="Equation.3" shapeId="49219" r:id="rId14"/>
    <oleObject progId="Equation.3" shapeId="49220" r:id="rId15"/>
    <oleObject progId="Equation.3" shapeId="49226" r:id="rId16"/>
    <oleObject progId="Equation.3" shapeId="49234" r:id="rId17"/>
    <oleObject progId="Equation.3" shapeId="49235" r:id="rId18"/>
    <oleObject progId="Equation.3" shapeId="49236" r:id="rId19"/>
    <oleObject progId="Equation.3" shapeId="49237" r:id="rId20"/>
    <oleObject progId="Equation.3" shapeId="49245" r:id="rId21"/>
    <oleObject progId="Equation.3" shapeId="49250" r:id="rId22"/>
    <oleObject progId="Equation.3" shapeId="49254" r:id="rId23"/>
    <oleObject progId="Equation.3" shapeId="49255" r:id="rId24"/>
    <oleObject progId="Equation.3" shapeId="49256" r:id="rId25"/>
    <oleObject progId="Equation.3" shapeId="49257" r:id="rId26"/>
    <oleObject progId="Equation.3" shapeId="49258" r:id="rId27"/>
    <oleObject progId="Equation.3" shapeId="49259" r:id="rId28"/>
    <oleObject progId="Equation.3" shapeId="49260" r:id="rId29"/>
    <oleObject progId="Equation.3" shapeId="49261" r:id="rId30"/>
  </oleObjects>
</worksheet>
</file>

<file path=xl/worksheets/sheet10.xml><?xml version="1.0" encoding="utf-8"?>
<worksheet xmlns="http://schemas.openxmlformats.org/spreadsheetml/2006/main" xmlns:r="http://schemas.openxmlformats.org/officeDocument/2006/relationships">
  <sheetPr codeName="Sheet13"/>
  <dimension ref="A1:A3"/>
  <sheetViews>
    <sheetView workbookViewId="0">
      <selection activeCell="C45" sqref="C45"/>
    </sheetView>
  </sheetViews>
  <sheetFormatPr defaultRowHeight="12.75"/>
  <sheetData>
    <row r="1" spans="1:1">
      <c r="A1" s="54" t="s">
        <v>323</v>
      </c>
    </row>
    <row r="2" spans="1:1">
      <c r="A2" s="54" t="s">
        <v>318</v>
      </c>
    </row>
    <row r="3" spans="1:1">
      <c r="A3" s="54" t="s">
        <v>320</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sheetPr codeName="Sheet14"/>
  <dimension ref="A1"/>
  <sheetViews>
    <sheetView workbookViewId="0">
      <selection activeCell="A45" sqref="A45"/>
    </sheetView>
  </sheetViews>
  <sheetFormatPr defaultRowHeight="12.7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codeName="Sheet15"/>
  <dimension ref="A1:BP47"/>
  <sheetViews>
    <sheetView workbookViewId="0">
      <pane xSplit="1" ySplit="6" topLeftCell="B7" activePane="bottomRight" state="frozen"/>
      <selection pane="topRight" activeCell="B1" sqref="B1"/>
      <selection pane="bottomLeft" activeCell="A5" sqref="A5"/>
      <selection pane="bottomRight" activeCell="A58" sqref="A58"/>
    </sheetView>
  </sheetViews>
  <sheetFormatPr defaultRowHeight="12.75"/>
  <cols>
    <col min="2" max="11" width="9.140625" customWidth="1"/>
    <col min="48" max="49" width="9.140625" customWidth="1"/>
    <col min="66" max="66" width="9.140625" customWidth="1"/>
  </cols>
  <sheetData>
    <row r="1" spans="1:67">
      <c r="A1" s="54" t="s">
        <v>322</v>
      </c>
      <c r="AP1" s="48"/>
      <c r="AQ1" s="48"/>
    </row>
    <row r="2" spans="1:67">
      <c r="A2" s="54" t="s">
        <v>319</v>
      </c>
      <c r="J2" s="54"/>
      <c r="AP2" s="48"/>
      <c r="AQ2" s="48"/>
    </row>
    <row r="3" spans="1:67">
      <c r="A3" s="54" t="s">
        <v>320</v>
      </c>
    </row>
    <row r="5" spans="1:67">
      <c r="A5" s="84"/>
      <c r="B5" s="166" t="s">
        <v>298</v>
      </c>
      <c r="C5" s="166"/>
      <c r="D5" s="166"/>
      <c r="E5" s="166"/>
      <c r="F5" s="166"/>
      <c r="G5" s="166"/>
      <c r="H5" s="166"/>
      <c r="I5" s="166"/>
      <c r="J5" s="166"/>
      <c r="K5" s="166"/>
      <c r="L5" s="166"/>
      <c r="M5" s="166"/>
      <c r="N5" s="166"/>
      <c r="O5" s="166"/>
      <c r="P5" s="166"/>
      <c r="Q5" s="166"/>
      <c r="R5" s="166"/>
      <c r="S5" s="166"/>
      <c r="T5" s="166"/>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c r="BJ5" s="166"/>
      <c r="BK5" s="166"/>
      <c r="BL5" s="166"/>
      <c r="BM5" s="166"/>
      <c r="BN5" s="166"/>
      <c r="BO5" s="166"/>
    </row>
    <row r="6" spans="1:67">
      <c r="A6" s="85" t="s">
        <v>297</v>
      </c>
      <c r="B6" s="83">
        <v>0.1</v>
      </c>
      <c r="C6" s="83">
        <f>B6+0.01</f>
        <v>0.11</v>
      </c>
      <c r="D6" s="83">
        <f t="shared" ref="D6:BO6" si="0">C6+0.01</f>
        <v>0.12</v>
      </c>
      <c r="E6" s="83">
        <f t="shared" si="0"/>
        <v>0.13</v>
      </c>
      <c r="F6" s="83">
        <f t="shared" si="0"/>
        <v>0.14000000000000001</v>
      </c>
      <c r="G6" s="83">
        <f t="shared" si="0"/>
        <v>0.15000000000000002</v>
      </c>
      <c r="H6" s="83">
        <f t="shared" si="0"/>
        <v>0.16000000000000003</v>
      </c>
      <c r="I6" s="83">
        <f t="shared" si="0"/>
        <v>0.17000000000000004</v>
      </c>
      <c r="J6" s="83">
        <f t="shared" si="0"/>
        <v>0.18000000000000005</v>
      </c>
      <c r="K6" s="83">
        <f t="shared" si="0"/>
        <v>0.19000000000000006</v>
      </c>
      <c r="L6" s="83">
        <f t="shared" si="0"/>
        <v>0.20000000000000007</v>
      </c>
      <c r="M6" s="83">
        <f t="shared" si="0"/>
        <v>0.21000000000000008</v>
      </c>
      <c r="N6" s="83">
        <f t="shared" si="0"/>
        <v>0.22000000000000008</v>
      </c>
      <c r="O6" s="83">
        <f t="shared" si="0"/>
        <v>0.23000000000000009</v>
      </c>
      <c r="P6" s="83">
        <f t="shared" si="0"/>
        <v>0.2400000000000001</v>
      </c>
      <c r="Q6" s="83">
        <f t="shared" si="0"/>
        <v>0.25000000000000011</v>
      </c>
      <c r="R6" s="83">
        <f t="shared" si="0"/>
        <v>0.26000000000000012</v>
      </c>
      <c r="S6" s="83">
        <f t="shared" si="0"/>
        <v>0.27000000000000013</v>
      </c>
      <c r="T6" s="83">
        <f t="shared" si="0"/>
        <v>0.28000000000000014</v>
      </c>
      <c r="U6" s="83">
        <f t="shared" si="0"/>
        <v>0.29000000000000015</v>
      </c>
      <c r="V6" s="83">
        <f t="shared" si="0"/>
        <v>0.30000000000000016</v>
      </c>
      <c r="W6" s="83">
        <f t="shared" si="0"/>
        <v>0.31000000000000016</v>
      </c>
      <c r="X6" s="83">
        <f t="shared" si="0"/>
        <v>0.32000000000000017</v>
      </c>
      <c r="Y6" s="83">
        <f t="shared" si="0"/>
        <v>0.33000000000000018</v>
      </c>
      <c r="Z6" s="83">
        <f t="shared" si="0"/>
        <v>0.34000000000000019</v>
      </c>
      <c r="AA6" s="83">
        <f t="shared" si="0"/>
        <v>0.3500000000000002</v>
      </c>
      <c r="AB6" s="83">
        <f t="shared" si="0"/>
        <v>0.36000000000000021</v>
      </c>
      <c r="AC6" s="83">
        <f t="shared" si="0"/>
        <v>0.37000000000000022</v>
      </c>
      <c r="AD6" s="83">
        <f t="shared" si="0"/>
        <v>0.38000000000000023</v>
      </c>
      <c r="AE6" s="83">
        <f t="shared" si="0"/>
        <v>0.39000000000000024</v>
      </c>
      <c r="AF6" s="83">
        <f t="shared" si="0"/>
        <v>0.40000000000000024</v>
      </c>
      <c r="AG6" s="83">
        <f t="shared" si="0"/>
        <v>0.41000000000000025</v>
      </c>
      <c r="AH6" s="83">
        <f t="shared" si="0"/>
        <v>0.42000000000000026</v>
      </c>
      <c r="AI6" s="83">
        <f t="shared" si="0"/>
        <v>0.43000000000000027</v>
      </c>
      <c r="AJ6" s="83">
        <f t="shared" si="0"/>
        <v>0.44000000000000028</v>
      </c>
      <c r="AK6" s="83">
        <f t="shared" si="0"/>
        <v>0.45000000000000029</v>
      </c>
      <c r="AL6" s="83">
        <f t="shared" si="0"/>
        <v>0.4600000000000003</v>
      </c>
      <c r="AM6" s="83">
        <f t="shared" si="0"/>
        <v>0.47000000000000031</v>
      </c>
      <c r="AN6" s="83">
        <f t="shared" si="0"/>
        <v>0.48000000000000032</v>
      </c>
      <c r="AO6" s="83">
        <f t="shared" si="0"/>
        <v>0.49000000000000032</v>
      </c>
      <c r="AP6" s="83">
        <f t="shared" si="0"/>
        <v>0.50000000000000033</v>
      </c>
      <c r="AQ6" s="83">
        <f t="shared" si="0"/>
        <v>0.51000000000000034</v>
      </c>
      <c r="AR6" s="83">
        <f t="shared" si="0"/>
        <v>0.52000000000000035</v>
      </c>
      <c r="AS6" s="83">
        <f t="shared" si="0"/>
        <v>0.53000000000000036</v>
      </c>
      <c r="AT6" s="83">
        <f t="shared" si="0"/>
        <v>0.54000000000000037</v>
      </c>
      <c r="AU6" s="83">
        <f t="shared" si="0"/>
        <v>0.55000000000000038</v>
      </c>
      <c r="AV6" s="83">
        <f t="shared" si="0"/>
        <v>0.56000000000000039</v>
      </c>
      <c r="AW6" s="83">
        <f t="shared" si="0"/>
        <v>0.5700000000000004</v>
      </c>
      <c r="AX6" s="83">
        <f t="shared" si="0"/>
        <v>0.5800000000000004</v>
      </c>
      <c r="AY6" s="83">
        <f t="shared" si="0"/>
        <v>0.59000000000000041</v>
      </c>
      <c r="AZ6" s="83">
        <f t="shared" si="0"/>
        <v>0.60000000000000042</v>
      </c>
      <c r="BA6" s="83">
        <f t="shared" si="0"/>
        <v>0.61000000000000043</v>
      </c>
      <c r="BB6" s="83">
        <f t="shared" si="0"/>
        <v>0.62000000000000044</v>
      </c>
      <c r="BC6" s="83">
        <f t="shared" si="0"/>
        <v>0.63000000000000045</v>
      </c>
      <c r="BD6" s="83">
        <f t="shared" si="0"/>
        <v>0.64000000000000046</v>
      </c>
      <c r="BE6" s="83">
        <f t="shared" si="0"/>
        <v>0.65000000000000047</v>
      </c>
      <c r="BF6" s="83">
        <f t="shared" si="0"/>
        <v>0.66000000000000048</v>
      </c>
      <c r="BG6" s="83">
        <f t="shared" si="0"/>
        <v>0.67000000000000048</v>
      </c>
      <c r="BH6" s="83">
        <f t="shared" si="0"/>
        <v>0.68000000000000049</v>
      </c>
      <c r="BI6" s="83">
        <f t="shared" si="0"/>
        <v>0.6900000000000005</v>
      </c>
      <c r="BJ6" s="83">
        <f t="shared" si="0"/>
        <v>0.70000000000000051</v>
      </c>
      <c r="BK6" s="83">
        <f t="shared" si="0"/>
        <v>0.71000000000000052</v>
      </c>
      <c r="BL6" s="83">
        <f t="shared" si="0"/>
        <v>0.72000000000000053</v>
      </c>
      <c r="BM6" s="83">
        <f t="shared" si="0"/>
        <v>0.73000000000000054</v>
      </c>
      <c r="BN6" s="83">
        <f t="shared" si="0"/>
        <v>0.74000000000000055</v>
      </c>
      <c r="BO6" s="83">
        <f t="shared" si="0"/>
        <v>0.75000000000000056</v>
      </c>
    </row>
    <row r="7" spans="1:67">
      <c r="A7" s="82">
        <v>0</v>
      </c>
      <c r="B7" s="73">
        <v>1</v>
      </c>
      <c r="C7" s="73">
        <v>1</v>
      </c>
      <c r="D7" s="73">
        <v>1</v>
      </c>
      <c r="E7" s="73">
        <v>1</v>
      </c>
      <c r="F7" s="73">
        <v>1</v>
      </c>
      <c r="G7" s="73">
        <v>1</v>
      </c>
      <c r="H7" s="73">
        <v>1</v>
      </c>
      <c r="I7" s="73">
        <v>1</v>
      </c>
      <c r="J7" s="73">
        <v>1</v>
      </c>
      <c r="K7" s="73">
        <v>1</v>
      </c>
      <c r="L7" s="73">
        <v>1</v>
      </c>
      <c r="M7" s="73">
        <v>1</v>
      </c>
      <c r="N7" s="73">
        <v>1</v>
      </c>
      <c r="O7" s="73">
        <v>1</v>
      </c>
      <c r="P7" s="73">
        <v>1</v>
      </c>
      <c r="Q7" s="73">
        <v>1</v>
      </c>
      <c r="R7" s="73">
        <v>1</v>
      </c>
      <c r="S7" s="73">
        <v>1</v>
      </c>
      <c r="T7" s="73">
        <v>1</v>
      </c>
      <c r="U7" s="73">
        <v>1</v>
      </c>
      <c r="V7" s="73">
        <v>1</v>
      </c>
      <c r="W7" s="73">
        <v>1</v>
      </c>
      <c r="X7" s="73">
        <v>1</v>
      </c>
      <c r="Y7" s="73">
        <v>1</v>
      </c>
      <c r="Z7" s="73">
        <v>1</v>
      </c>
      <c r="AA7" s="73">
        <v>1</v>
      </c>
      <c r="AB7" s="73">
        <v>1</v>
      </c>
      <c r="AC7" s="73">
        <v>1</v>
      </c>
      <c r="AD7" s="73">
        <v>1</v>
      </c>
      <c r="AE7" s="73">
        <v>1</v>
      </c>
      <c r="AF7" s="73">
        <v>1</v>
      </c>
      <c r="AG7" s="73">
        <v>1</v>
      </c>
      <c r="AH7" s="73">
        <v>1</v>
      </c>
      <c r="AI7" s="73">
        <v>1</v>
      </c>
      <c r="AJ7" s="73">
        <v>1</v>
      </c>
      <c r="AK7" s="73">
        <v>1</v>
      </c>
      <c r="AL7" s="73">
        <v>1</v>
      </c>
      <c r="AM7" s="73">
        <v>1</v>
      </c>
      <c r="AN7" s="73">
        <v>1</v>
      </c>
      <c r="AO7" s="73">
        <v>1</v>
      </c>
      <c r="AP7" s="73">
        <v>1</v>
      </c>
      <c r="AQ7" s="73">
        <v>1</v>
      </c>
      <c r="AR7" s="73">
        <v>1</v>
      </c>
      <c r="AS7" s="73">
        <v>1</v>
      </c>
      <c r="AT7" s="73">
        <v>1</v>
      </c>
      <c r="AU7" s="73">
        <v>1</v>
      </c>
      <c r="AV7" s="73">
        <v>1</v>
      </c>
      <c r="AW7" s="73">
        <v>1</v>
      </c>
      <c r="AX7" s="73">
        <v>1</v>
      </c>
      <c r="AY7" s="73">
        <v>1</v>
      </c>
      <c r="AZ7" s="73">
        <v>1</v>
      </c>
      <c r="BA7" s="73">
        <v>1</v>
      </c>
      <c r="BB7" s="73">
        <v>1</v>
      </c>
      <c r="BC7" s="73">
        <v>1</v>
      </c>
      <c r="BD7" s="73">
        <v>1</v>
      </c>
      <c r="BE7" s="73">
        <v>1</v>
      </c>
      <c r="BF7" s="73">
        <v>1</v>
      </c>
      <c r="BG7" s="73">
        <v>1</v>
      </c>
      <c r="BH7" s="73">
        <v>1</v>
      </c>
      <c r="BI7" s="73">
        <v>1</v>
      </c>
      <c r="BJ7" s="73">
        <v>1</v>
      </c>
      <c r="BK7" s="73">
        <v>1</v>
      </c>
      <c r="BL7" s="73">
        <v>1</v>
      </c>
      <c r="BM7" s="73">
        <v>1</v>
      </c>
      <c r="BN7" s="73">
        <v>1</v>
      </c>
      <c r="BO7" s="73">
        <v>1</v>
      </c>
    </row>
    <row r="8" spans="1:67">
      <c r="A8" s="82">
        <f>A7+0.1</f>
        <v>0.1</v>
      </c>
      <c r="B8" s="73">
        <v>1.0006999999999999</v>
      </c>
      <c r="C8" s="73">
        <v>1.0006999999999999</v>
      </c>
      <c r="D8" s="73">
        <v>1.0006999999999999</v>
      </c>
      <c r="E8" s="73">
        <v>1.0006999999999999</v>
      </c>
      <c r="F8" s="73">
        <v>1.0006999999999999</v>
      </c>
      <c r="G8" s="73">
        <v>1.0006999999999999</v>
      </c>
      <c r="H8" s="73">
        <v>1.0006999999999999</v>
      </c>
      <c r="I8" s="73">
        <v>1.0006999999999999</v>
      </c>
      <c r="J8" s="73">
        <v>1.0006999999999999</v>
      </c>
      <c r="K8" s="73">
        <v>1.0006999999999999</v>
      </c>
      <c r="L8" s="73">
        <v>1.0006999999999999</v>
      </c>
      <c r="M8" s="73">
        <v>1.0006999999999999</v>
      </c>
      <c r="N8" s="73">
        <v>1.0006999999999999</v>
      </c>
      <c r="O8" s="73">
        <v>1.0006999999999999</v>
      </c>
      <c r="P8" s="73">
        <v>1.0006999999999999</v>
      </c>
      <c r="Q8" s="73">
        <v>1.0006999999999999</v>
      </c>
      <c r="R8" s="73">
        <v>1.0006999999999999</v>
      </c>
      <c r="S8" s="73">
        <v>1.0006999999999999</v>
      </c>
      <c r="T8" s="73">
        <v>1.0006999999999999</v>
      </c>
      <c r="U8" s="73">
        <v>1.0006999999999999</v>
      </c>
      <c r="V8" s="73">
        <v>1.0005999999999999</v>
      </c>
      <c r="W8" s="73">
        <v>1.0005999999999999</v>
      </c>
      <c r="X8" s="73">
        <v>1.0005999999999999</v>
      </c>
      <c r="Y8" s="73">
        <v>1.0005999999999999</v>
      </c>
      <c r="Z8" s="73">
        <v>1.0005999999999999</v>
      </c>
      <c r="AA8" s="73">
        <v>1.0005999999999999</v>
      </c>
      <c r="AB8" s="73">
        <v>1.0005999999999999</v>
      </c>
      <c r="AC8" s="73">
        <v>1.0005999999999999</v>
      </c>
      <c r="AD8" s="73">
        <v>1.0005999999999999</v>
      </c>
      <c r="AE8" s="73">
        <v>1.0005999999999999</v>
      </c>
      <c r="AF8" s="73">
        <v>1.0005999999999999</v>
      </c>
      <c r="AG8" s="73">
        <v>1.0005999999999999</v>
      </c>
      <c r="AH8" s="73">
        <v>1.0005999999999999</v>
      </c>
      <c r="AI8" s="73">
        <v>1.0005999999999999</v>
      </c>
      <c r="AJ8" s="73">
        <v>1.0005999999999999</v>
      </c>
      <c r="AK8" s="73">
        <v>1.0005999999999999</v>
      </c>
      <c r="AL8" s="73">
        <v>1.0005999999999999</v>
      </c>
      <c r="AM8" s="73">
        <v>1.0005999999999999</v>
      </c>
      <c r="AN8" s="73">
        <v>1.0005999999999999</v>
      </c>
      <c r="AO8" s="73">
        <v>1.0005999999999999</v>
      </c>
      <c r="AP8" s="73">
        <v>1.0005999999999999</v>
      </c>
      <c r="AQ8" s="73">
        <v>1.0005999999999999</v>
      </c>
      <c r="AR8" s="73">
        <v>1.0005999999999999</v>
      </c>
      <c r="AS8" s="73">
        <v>1.0005999999999999</v>
      </c>
      <c r="AT8" s="73">
        <v>1.0005999999999999</v>
      </c>
      <c r="AU8" s="73">
        <v>1.0005999999999999</v>
      </c>
      <c r="AV8" s="73">
        <v>1.0005999999999999</v>
      </c>
      <c r="AW8" s="73">
        <v>1.0005999999999999</v>
      </c>
      <c r="AX8" s="73">
        <v>1.0005999999999999</v>
      </c>
      <c r="AY8" s="73">
        <v>1.0005999999999999</v>
      </c>
      <c r="AZ8" s="73">
        <v>1.0004999999999999</v>
      </c>
      <c r="BA8" s="73">
        <v>1.0004999999999999</v>
      </c>
      <c r="BB8" s="73">
        <v>1.0004999999999999</v>
      </c>
      <c r="BC8" s="73">
        <v>1.0004999999999999</v>
      </c>
      <c r="BD8" s="73">
        <v>1.0004999999999999</v>
      </c>
      <c r="BE8" s="73">
        <v>1.0004999999999999</v>
      </c>
      <c r="BF8" s="73">
        <v>1.0004999999999999</v>
      </c>
      <c r="BG8" s="73">
        <v>1.0004999999999999</v>
      </c>
      <c r="BH8" s="73">
        <v>1.0004</v>
      </c>
      <c r="BI8" s="73">
        <v>1.0004</v>
      </c>
      <c r="BJ8" s="73">
        <v>1.0004</v>
      </c>
      <c r="BK8" s="73">
        <v>1.0004</v>
      </c>
      <c r="BL8" s="73">
        <v>1.0004</v>
      </c>
      <c r="BM8" s="73">
        <v>1.0004</v>
      </c>
      <c r="BN8" s="73">
        <v>1.0004</v>
      </c>
      <c r="BO8" s="73">
        <v>1.0004</v>
      </c>
    </row>
    <row r="9" spans="1:67">
      <c r="A9" s="82">
        <f t="shared" ref="A9:A46" si="1">A8+0.1</f>
        <v>0.2</v>
      </c>
      <c r="B9" s="73">
        <v>1.0013000000000001</v>
      </c>
      <c r="C9" s="73">
        <v>1.0013000000000001</v>
      </c>
      <c r="D9" s="73">
        <v>1.0013000000000001</v>
      </c>
      <c r="E9" s="73">
        <v>1.0013000000000001</v>
      </c>
      <c r="F9" s="73">
        <v>1.0013000000000001</v>
      </c>
      <c r="G9" s="73">
        <v>1.0013000000000001</v>
      </c>
      <c r="H9" s="73">
        <v>1.0013000000000001</v>
      </c>
      <c r="I9" s="73">
        <v>1.0013000000000001</v>
      </c>
      <c r="J9" s="73">
        <v>1.0013000000000001</v>
      </c>
      <c r="K9" s="73">
        <v>1.0013000000000001</v>
      </c>
      <c r="L9" s="73">
        <v>1.0013000000000001</v>
      </c>
      <c r="M9" s="73">
        <v>1.0013000000000001</v>
      </c>
      <c r="N9" s="73">
        <v>1.0013000000000001</v>
      </c>
      <c r="O9" s="73">
        <v>1.0013000000000001</v>
      </c>
      <c r="P9" s="73">
        <v>1.0013000000000001</v>
      </c>
      <c r="Q9" s="73">
        <v>1.0013000000000001</v>
      </c>
      <c r="R9" s="73">
        <v>1.0013000000000001</v>
      </c>
      <c r="S9" s="73">
        <v>1.0013000000000001</v>
      </c>
      <c r="T9" s="73">
        <v>1.0013000000000001</v>
      </c>
      <c r="U9" s="73">
        <v>1.0013000000000001</v>
      </c>
      <c r="V9" s="73">
        <v>1.0013000000000001</v>
      </c>
      <c r="W9" s="73">
        <v>1.0013000000000001</v>
      </c>
      <c r="X9" s="73">
        <v>1.0013000000000001</v>
      </c>
      <c r="Y9" s="73">
        <v>1.0013000000000001</v>
      </c>
      <c r="Z9" s="73">
        <v>1.0013000000000001</v>
      </c>
      <c r="AA9" s="73">
        <v>1.0013000000000001</v>
      </c>
      <c r="AB9" s="73">
        <v>1.0013000000000001</v>
      </c>
      <c r="AC9" s="73">
        <v>1.0013000000000001</v>
      </c>
      <c r="AD9" s="73">
        <v>1.0013000000000001</v>
      </c>
      <c r="AE9" s="73">
        <v>1.0013000000000001</v>
      </c>
      <c r="AF9" s="73">
        <v>1.0013000000000001</v>
      </c>
      <c r="AG9" s="73">
        <v>1.0013000000000001</v>
      </c>
      <c r="AH9" s="73">
        <v>1.0013000000000001</v>
      </c>
      <c r="AI9" s="73">
        <v>1.0013000000000001</v>
      </c>
      <c r="AJ9" s="73">
        <v>1.0013000000000001</v>
      </c>
      <c r="AK9" s="73">
        <v>1.0012000000000001</v>
      </c>
      <c r="AL9" s="73">
        <v>1.0012000000000001</v>
      </c>
      <c r="AM9" s="73">
        <v>1.0012000000000001</v>
      </c>
      <c r="AN9" s="73">
        <v>1.0012000000000001</v>
      </c>
      <c r="AO9" s="73">
        <v>1.0012000000000001</v>
      </c>
      <c r="AP9" s="73">
        <v>1.0012000000000001</v>
      </c>
      <c r="AQ9" s="73">
        <v>1.0012000000000001</v>
      </c>
      <c r="AR9" s="73">
        <v>1.0012000000000001</v>
      </c>
      <c r="AS9" s="73">
        <v>1.0012000000000001</v>
      </c>
      <c r="AT9" s="73">
        <v>1.0012000000000001</v>
      </c>
      <c r="AU9" s="73">
        <v>1.0012000000000001</v>
      </c>
      <c r="AV9" s="73">
        <v>1.0011000000000001</v>
      </c>
      <c r="AW9" s="73">
        <v>1.0011000000000001</v>
      </c>
      <c r="AX9" s="73">
        <v>1.0011000000000001</v>
      </c>
      <c r="AY9" s="73">
        <v>1.0011000000000001</v>
      </c>
      <c r="AZ9" s="73">
        <v>1.0011000000000001</v>
      </c>
      <c r="BA9" s="73">
        <v>1.0011000000000001</v>
      </c>
      <c r="BB9" s="73">
        <v>1.0009999999999999</v>
      </c>
      <c r="BC9" s="73">
        <v>1.0009999999999999</v>
      </c>
      <c r="BD9" s="73">
        <v>1.0009999999999999</v>
      </c>
      <c r="BE9" s="73">
        <v>1.0009999999999999</v>
      </c>
      <c r="BF9" s="73">
        <v>1.0009999999999999</v>
      </c>
      <c r="BG9" s="73">
        <v>1.0008999999999999</v>
      </c>
      <c r="BH9" s="73">
        <v>1.0008999999999999</v>
      </c>
      <c r="BI9" s="73">
        <v>1.0008999999999999</v>
      </c>
      <c r="BJ9" s="73">
        <v>1.0008999999999999</v>
      </c>
      <c r="BK9" s="73">
        <v>1.0007999999999999</v>
      </c>
      <c r="BL9" s="73">
        <v>1.0007999999999999</v>
      </c>
      <c r="BM9" s="73">
        <v>1.0007999999999999</v>
      </c>
      <c r="BN9" s="73">
        <v>1.0007999999999999</v>
      </c>
      <c r="BO9" s="73">
        <v>1.0006999999999999</v>
      </c>
    </row>
    <row r="10" spans="1:67">
      <c r="A10" s="82">
        <f t="shared" si="1"/>
        <v>0.30000000000000004</v>
      </c>
      <c r="B10" s="73">
        <v>1.002</v>
      </c>
      <c r="C10" s="73">
        <v>1.002</v>
      </c>
      <c r="D10" s="73">
        <v>1.002</v>
      </c>
      <c r="E10" s="73">
        <v>1.002</v>
      </c>
      <c r="F10" s="73">
        <v>1.002</v>
      </c>
      <c r="G10" s="73">
        <v>1.002</v>
      </c>
      <c r="H10" s="73">
        <v>1.002</v>
      </c>
      <c r="I10" s="73">
        <v>1.002</v>
      </c>
      <c r="J10" s="73">
        <v>1.002</v>
      </c>
      <c r="K10" s="73">
        <v>1.002</v>
      </c>
      <c r="L10" s="73">
        <v>1.002</v>
      </c>
      <c r="M10" s="73">
        <v>1.002</v>
      </c>
      <c r="N10" s="73">
        <v>1.002</v>
      </c>
      <c r="O10" s="73">
        <v>1.002</v>
      </c>
      <c r="P10" s="73">
        <v>1.002</v>
      </c>
      <c r="Q10" s="73">
        <v>1.002</v>
      </c>
      <c r="R10" s="73">
        <v>1.002</v>
      </c>
      <c r="S10" s="73">
        <v>1.002</v>
      </c>
      <c r="T10" s="73">
        <v>1.002</v>
      </c>
      <c r="U10" s="73">
        <v>1.002</v>
      </c>
      <c r="V10" s="73">
        <v>1.002</v>
      </c>
      <c r="W10" s="73">
        <v>1.002</v>
      </c>
      <c r="X10" s="73">
        <v>1.002</v>
      </c>
      <c r="Y10" s="73">
        <v>1.002</v>
      </c>
      <c r="Z10" s="73">
        <v>1.002</v>
      </c>
      <c r="AA10" s="73">
        <v>1.002</v>
      </c>
      <c r="AB10" s="73">
        <v>1.002</v>
      </c>
      <c r="AC10" s="73">
        <v>1.002</v>
      </c>
      <c r="AD10" s="73">
        <v>1.002</v>
      </c>
      <c r="AE10" s="73">
        <v>1.002</v>
      </c>
      <c r="AF10" s="73">
        <v>1.0019</v>
      </c>
      <c r="AG10" s="73">
        <v>1.0019</v>
      </c>
      <c r="AH10" s="73">
        <v>1.0019</v>
      </c>
      <c r="AI10" s="73">
        <v>1.0019</v>
      </c>
      <c r="AJ10" s="73">
        <v>1.0019</v>
      </c>
      <c r="AK10" s="73">
        <v>1.0019</v>
      </c>
      <c r="AL10" s="73">
        <v>1.0019</v>
      </c>
      <c r="AM10" s="73">
        <v>1.0019</v>
      </c>
      <c r="AN10" s="73">
        <v>1.0019</v>
      </c>
      <c r="AO10" s="73">
        <v>1.0019</v>
      </c>
      <c r="AP10" s="81">
        <v>1.0018</v>
      </c>
      <c r="AQ10" s="81">
        <v>1.0018</v>
      </c>
      <c r="AR10" s="73">
        <v>1.0018</v>
      </c>
      <c r="AS10" s="73">
        <v>1.0018</v>
      </c>
      <c r="AT10" s="73">
        <v>1.0018</v>
      </c>
      <c r="AU10" s="73">
        <v>1.0018</v>
      </c>
      <c r="AV10" s="73">
        <v>1.0017</v>
      </c>
      <c r="AW10" s="73">
        <v>1.0017</v>
      </c>
      <c r="AX10" s="73">
        <v>1.0017</v>
      </c>
      <c r="AY10" s="73">
        <v>1.0017</v>
      </c>
      <c r="AZ10" s="73">
        <v>1.0016</v>
      </c>
      <c r="BA10" s="73">
        <v>1.0016</v>
      </c>
      <c r="BB10" s="73">
        <v>1.0015000000000001</v>
      </c>
      <c r="BC10" s="73">
        <v>1.0015000000000001</v>
      </c>
      <c r="BD10" s="73">
        <v>1.0015000000000001</v>
      </c>
      <c r="BE10" s="73">
        <v>1.0014000000000001</v>
      </c>
      <c r="BF10" s="73">
        <v>1.0014000000000001</v>
      </c>
      <c r="BG10" s="73">
        <v>1.0014000000000001</v>
      </c>
      <c r="BH10" s="73">
        <v>1.0014000000000001</v>
      </c>
      <c r="BI10" s="73">
        <v>1.0013000000000001</v>
      </c>
      <c r="BJ10" s="73">
        <v>1.0013000000000001</v>
      </c>
      <c r="BK10" s="73">
        <v>1.0129999999999999</v>
      </c>
      <c r="BL10" s="73">
        <v>1.0012000000000001</v>
      </c>
      <c r="BM10" s="73">
        <v>1.0012000000000001</v>
      </c>
      <c r="BN10" s="73">
        <v>1.0011000000000001</v>
      </c>
      <c r="BO10" s="73">
        <v>1.0012000000000001</v>
      </c>
    </row>
    <row r="11" spans="1:67">
      <c r="A11" s="82">
        <f t="shared" si="1"/>
        <v>0.4</v>
      </c>
      <c r="B11" s="73">
        <v>1.0026999999999999</v>
      </c>
      <c r="C11" s="73">
        <v>1.0026999999999999</v>
      </c>
      <c r="D11" s="73">
        <v>1.0026999999999999</v>
      </c>
      <c r="E11" s="73">
        <v>1.0026999999999999</v>
      </c>
      <c r="F11" s="73">
        <v>1.0026999999999999</v>
      </c>
      <c r="G11" s="73">
        <v>1.0026999999999999</v>
      </c>
      <c r="H11" s="73">
        <v>1.0026999999999999</v>
      </c>
      <c r="I11" s="73">
        <v>1.0026999999999999</v>
      </c>
      <c r="J11" s="73">
        <v>1.0026999999999999</v>
      </c>
      <c r="K11" s="73">
        <v>1.0026999999999999</v>
      </c>
      <c r="L11" s="73">
        <v>1.0026999999999999</v>
      </c>
      <c r="M11" s="73">
        <v>1.0026999999999999</v>
      </c>
      <c r="N11" s="73">
        <v>1.0026999999999999</v>
      </c>
      <c r="O11" s="73">
        <v>1.0026999999999999</v>
      </c>
      <c r="P11" s="73">
        <v>1.0026999999999999</v>
      </c>
      <c r="Q11" s="73">
        <v>1.0026999999999999</v>
      </c>
      <c r="R11" s="73">
        <v>1.0026999999999999</v>
      </c>
      <c r="S11" s="73">
        <v>1.0026999999999999</v>
      </c>
      <c r="T11" s="73">
        <v>1.0026999999999999</v>
      </c>
      <c r="U11" s="73">
        <v>1.0026999999999999</v>
      </c>
      <c r="V11" s="73">
        <v>1.0025999999999999</v>
      </c>
      <c r="W11" s="73">
        <v>1.0025999999999999</v>
      </c>
      <c r="X11" s="73">
        <v>1.0025999999999999</v>
      </c>
      <c r="Y11" s="73">
        <v>1.0025999999999999</v>
      </c>
      <c r="Z11" s="73">
        <v>1.0025999999999999</v>
      </c>
      <c r="AA11" s="73">
        <v>1.0025999999999999</v>
      </c>
      <c r="AB11" s="73">
        <v>1.0025999999999999</v>
      </c>
      <c r="AC11" s="73">
        <v>1.0025999999999999</v>
      </c>
      <c r="AD11" s="73">
        <v>1.0025999999999999</v>
      </c>
      <c r="AE11" s="73">
        <v>1.0025999999999999</v>
      </c>
      <c r="AF11" s="73">
        <v>1.0025999999999999</v>
      </c>
      <c r="AG11" s="73">
        <v>1.0025999999999999</v>
      </c>
      <c r="AH11" s="73">
        <v>1.0025999999999999</v>
      </c>
      <c r="AI11" s="73">
        <v>1.0025999999999999</v>
      </c>
      <c r="AJ11" s="73">
        <v>1.0025999999999999</v>
      </c>
      <c r="AK11" s="73">
        <v>1.0024999999999999</v>
      </c>
      <c r="AL11" s="73">
        <v>1.0024999999999999</v>
      </c>
      <c r="AM11" s="73">
        <v>1.0024999999999999</v>
      </c>
      <c r="AN11" s="73">
        <v>1.0024999999999999</v>
      </c>
      <c r="AO11" s="73">
        <v>1.0024999999999999</v>
      </c>
      <c r="AP11" s="73">
        <v>1.0024999999999999</v>
      </c>
      <c r="AQ11" s="73">
        <v>1.0024999999999999</v>
      </c>
      <c r="AR11" s="73">
        <v>1.0024</v>
      </c>
      <c r="AS11" s="73">
        <v>1.0024</v>
      </c>
      <c r="AT11" s="73">
        <v>1.0024</v>
      </c>
      <c r="AU11" s="73">
        <v>1.0024</v>
      </c>
      <c r="AV11" s="73">
        <v>1.0023</v>
      </c>
      <c r="AW11" s="73">
        <v>1.0023</v>
      </c>
      <c r="AX11" s="73">
        <v>1.0023</v>
      </c>
      <c r="AY11" s="73">
        <v>1.0023</v>
      </c>
      <c r="AZ11" s="73">
        <v>1.0022</v>
      </c>
      <c r="BA11" s="73">
        <v>1.0022</v>
      </c>
      <c r="BB11" s="73">
        <v>1.0021</v>
      </c>
      <c r="BC11" s="73">
        <v>1.0021</v>
      </c>
      <c r="BD11" s="73">
        <v>1.002</v>
      </c>
      <c r="BE11" s="73">
        <v>1.002</v>
      </c>
      <c r="BF11" s="73">
        <v>1.0019</v>
      </c>
      <c r="BG11" s="73">
        <v>1.0019</v>
      </c>
      <c r="BH11" s="73">
        <v>1.0018</v>
      </c>
      <c r="BI11" s="73">
        <v>1.0018</v>
      </c>
      <c r="BJ11" s="73">
        <v>1.0017</v>
      </c>
      <c r="BK11" s="73">
        <v>1.0017</v>
      </c>
      <c r="BL11" s="73">
        <v>1.0016</v>
      </c>
      <c r="BM11" s="73">
        <v>1.0016</v>
      </c>
      <c r="BN11" s="73">
        <v>1.0015000000000001</v>
      </c>
      <c r="BO11" s="73">
        <v>1.0014000000000001</v>
      </c>
    </row>
    <row r="12" spans="1:67">
      <c r="A12" s="82">
        <f t="shared" si="1"/>
        <v>0.5</v>
      </c>
      <c r="B12" s="73">
        <v>1.0033000000000001</v>
      </c>
      <c r="C12" s="73">
        <v>1.0033000000000001</v>
      </c>
      <c r="D12" s="73">
        <v>1.0033000000000001</v>
      </c>
      <c r="E12" s="73">
        <v>1.0033000000000001</v>
      </c>
      <c r="F12" s="73">
        <v>1.0033000000000001</v>
      </c>
      <c r="G12" s="73">
        <v>1.0033000000000001</v>
      </c>
      <c r="H12" s="73">
        <v>1.0033000000000001</v>
      </c>
      <c r="I12" s="73">
        <v>1.0033000000000001</v>
      </c>
      <c r="J12" s="73">
        <v>1.0033000000000001</v>
      </c>
      <c r="K12" s="73">
        <v>1.0033000000000001</v>
      </c>
      <c r="L12" s="73">
        <v>1.0033000000000001</v>
      </c>
      <c r="M12" s="73">
        <v>1.0033000000000001</v>
      </c>
      <c r="N12" s="73">
        <v>1.0033000000000001</v>
      </c>
      <c r="O12" s="73">
        <v>1.0033000000000001</v>
      </c>
      <c r="P12" s="73">
        <v>1.0033000000000001</v>
      </c>
      <c r="Q12" s="73">
        <v>1.0033000000000001</v>
      </c>
      <c r="R12" s="73">
        <v>1.0033000000000001</v>
      </c>
      <c r="S12" s="73">
        <v>1.0033000000000001</v>
      </c>
      <c r="T12" s="73">
        <v>1.0033000000000001</v>
      </c>
      <c r="U12" s="73">
        <v>1.0033000000000001</v>
      </c>
      <c r="V12" s="73">
        <v>1.0033000000000001</v>
      </c>
      <c r="W12" s="73">
        <v>1.0033000000000001</v>
      </c>
      <c r="X12" s="73">
        <v>1.0033000000000001</v>
      </c>
      <c r="Y12" s="73">
        <v>1.0033000000000001</v>
      </c>
      <c r="Z12" s="73">
        <v>1.0033000000000001</v>
      </c>
      <c r="AA12" s="73">
        <v>1.0033000000000001</v>
      </c>
      <c r="AB12" s="73">
        <v>1.0033000000000001</v>
      </c>
      <c r="AC12" s="73">
        <v>1.0033000000000001</v>
      </c>
      <c r="AD12" s="73">
        <v>1.0033000000000001</v>
      </c>
      <c r="AE12" s="73">
        <v>1.0033000000000001</v>
      </c>
      <c r="AF12" s="73">
        <v>1.0032000000000001</v>
      </c>
      <c r="AG12" s="73">
        <v>1.0032000000000001</v>
      </c>
      <c r="AH12" s="73">
        <v>1.0032000000000001</v>
      </c>
      <c r="AI12" s="73">
        <v>1.0032000000000001</v>
      </c>
      <c r="AJ12" s="73">
        <v>1.0032000000000001</v>
      </c>
      <c r="AK12" s="73">
        <v>1.0031000000000001</v>
      </c>
      <c r="AL12" s="73">
        <v>1.0031000000000001</v>
      </c>
      <c r="AM12" s="73">
        <v>1.0031000000000001</v>
      </c>
      <c r="AN12" s="73">
        <v>1.0031000000000001</v>
      </c>
      <c r="AO12" s="73">
        <v>1.0031000000000001</v>
      </c>
      <c r="AP12" s="73">
        <v>1.0029999999999999</v>
      </c>
      <c r="AQ12" s="73">
        <v>1.0029999999999999</v>
      </c>
      <c r="AR12" s="73">
        <v>1.0029999999999999</v>
      </c>
      <c r="AS12" s="73">
        <v>1.0029999999999999</v>
      </c>
      <c r="AT12" s="73">
        <v>1.0028999999999999</v>
      </c>
      <c r="AU12" s="73">
        <v>1.0028999999999999</v>
      </c>
      <c r="AV12" s="73">
        <v>1.0289999999999999</v>
      </c>
      <c r="AW12" s="73">
        <v>1.0289999999999999</v>
      </c>
      <c r="AX12" s="73">
        <v>1.0027999999999999</v>
      </c>
      <c r="AY12" s="73">
        <v>1.0027999999999999</v>
      </c>
      <c r="AZ12" s="73">
        <v>1.0026999999999999</v>
      </c>
      <c r="BA12" s="73">
        <v>1.0026999999999999</v>
      </c>
      <c r="BB12" s="73">
        <v>1.0025999999999999</v>
      </c>
      <c r="BC12" s="73">
        <v>1.0025999999999999</v>
      </c>
      <c r="BD12" s="73">
        <v>1.0024999999999999</v>
      </c>
      <c r="BE12" s="73">
        <v>1.0024999999999999</v>
      </c>
      <c r="BF12" s="73">
        <v>1.0024</v>
      </c>
      <c r="BG12" s="73">
        <v>1.0024</v>
      </c>
      <c r="BH12" s="73">
        <v>1.0023</v>
      </c>
      <c r="BI12" s="73">
        <v>1.0022</v>
      </c>
      <c r="BJ12" s="73">
        <v>1.0022</v>
      </c>
      <c r="BK12" s="73">
        <v>1.0021</v>
      </c>
      <c r="BL12" s="73">
        <v>1.002</v>
      </c>
      <c r="BM12" s="73">
        <v>1.002</v>
      </c>
      <c r="BN12" s="73">
        <v>1.0019</v>
      </c>
      <c r="BO12" s="73">
        <v>1.0018</v>
      </c>
    </row>
    <row r="13" spans="1:67">
      <c r="A13" s="82">
        <f t="shared" si="1"/>
        <v>0.6</v>
      </c>
      <c r="B13" s="73">
        <v>1.004</v>
      </c>
      <c r="C13" s="73">
        <v>1.004</v>
      </c>
      <c r="D13" s="73">
        <v>1.004</v>
      </c>
      <c r="E13" s="73">
        <v>1.004</v>
      </c>
      <c r="F13" s="73">
        <v>1.004</v>
      </c>
      <c r="G13" s="73">
        <v>1.004</v>
      </c>
      <c r="H13" s="73">
        <v>1.004</v>
      </c>
      <c r="I13" s="73">
        <v>1.004</v>
      </c>
      <c r="J13" s="73">
        <v>1.004</v>
      </c>
      <c r="K13" s="73">
        <v>1.004</v>
      </c>
      <c r="L13" s="73">
        <v>1.004</v>
      </c>
      <c r="M13" s="73">
        <v>1.004</v>
      </c>
      <c r="N13" s="73">
        <v>1.004</v>
      </c>
      <c r="O13" s="73">
        <v>1.004</v>
      </c>
      <c r="P13" s="73">
        <v>1.004</v>
      </c>
      <c r="Q13" s="73">
        <v>1.004</v>
      </c>
      <c r="R13" s="73">
        <v>1.004</v>
      </c>
      <c r="S13" s="73">
        <v>1.004</v>
      </c>
      <c r="T13" s="73">
        <v>1.004</v>
      </c>
      <c r="U13" s="73">
        <v>1.004</v>
      </c>
      <c r="V13" s="73">
        <v>1.004</v>
      </c>
      <c r="W13" s="73">
        <v>1.004</v>
      </c>
      <c r="X13" s="73">
        <v>1.004</v>
      </c>
      <c r="Y13" s="73">
        <v>1.004</v>
      </c>
      <c r="Z13" s="73">
        <v>1.004</v>
      </c>
      <c r="AA13" s="73">
        <v>1.004</v>
      </c>
      <c r="AB13" s="73">
        <v>1.004</v>
      </c>
      <c r="AC13" s="73">
        <v>1.004</v>
      </c>
      <c r="AD13" s="73">
        <v>1.004</v>
      </c>
      <c r="AE13" s="73">
        <v>1.004</v>
      </c>
      <c r="AF13" s="73">
        <v>1.0039</v>
      </c>
      <c r="AG13" s="73">
        <v>1.0039</v>
      </c>
      <c r="AH13" s="73">
        <v>1.0039</v>
      </c>
      <c r="AI13" s="73">
        <v>1.0039</v>
      </c>
      <c r="AJ13" s="73">
        <v>1.0039</v>
      </c>
      <c r="AK13" s="73">
        <v>1.0038</v>
      </c>
      <c r="AL13" s="73">
        <v>1.0038</v>
      </c>
      <c r="AM13" s="73">
        <v>1.0038</v>
      </c>
      <c r="AN13" s="73">
        <v>1.0038</v>
      </c>
      <c r="AO13" s="73">
        <v>1.0038</v>
      </c>
      <c r="AP13" s="73">
        <v>1.0036</v>
      </c>
      <c r="AQ13" s="73">
        <v>1.0036</v>
      </c>
      <c r="AR13" s="73">
        <v>1.0036</v>
      </c>
      <c r="AS13" s="73">
        <v>1.0036</v>
      </c>
      <c r="AT13" s="73">
        <v>1.0035000000000001</v>
      </c>
      <c r="AU13" s="73">
        <v>1.0035000000000001</v>
      </c>
      <c r="AV13" s="73">
        <v>1.0034000000000001</v>
      </c>
      <c r="AW13" s="73">
        <v>1.0034000000000001</v>
      </c>
      <c r="AX13" s="73">
        <v>1.0034000000000001</v>
      </c>
      <c r="AY13" s="73">
        <v>1.0034000000000001</v>
      </c>
      <c r="AZ13" s="73">
        <v>1.0033000000000001</v>
      </c>
      <c r="BA13" s="73">
        <v>1.0032000000000001</v>
      </c>
      <c r="BB13" s="73">
        <v>1.0032000000000001</v>
      </c>
      <c r="BC13" s="73">
        <v>1.0031000000000001</v>
      </c>
      <c r="BD13" s="73">
        <v>1.0029999999999999</v>
      </c>
      <c r="BE13" s="73">
        <v>1.0029999999999999</v>
      </c>
      <c r="BF13" s="73">
        <v>1.0028999999999999</v>
      </c>
      <c r="BG13" s="73">
        <v>1.0027999999999999</v>
      </c>
      <c r="BH13" s="73">
        <v>1.0027999999999999</v>
      </c>
      <c r="BI13" s="73">
        <v>1.0026999999999999</v>
      </c>
      <c r="BJ13" s="73">
        <v>1.0025999999999999</v>
      </c>
      <c r="BK13" s="73">
        <v>1.0024999999999999</v>
      </c>
      <c r="BL13" s="73">
        <v>1.0024999999999999</v>
      </c>
      <c r="BM13" s="73">
        <v>1.0024</v>
      </c>
      <c r="BN13" s="73">
        <v>1.0023</v>
      </c>
      <c r="BO13" s="73">
        <v>1.0022</v>
      </c>
    </row>
    <row r="14" spans="1:67">
      <c r="A14" s="82">
        <f t="shared" si="1"/>
        <v>0.7</v>
      </c>
      <c r="B14" s="73">
        <v>1.0046999999999999</v>
      </c>
      <c r="C14" s="73">
        <v>1.0046999999999999</v>
      </c>
      <c r="D14" s="73">
        <v>1.0046999999999999</v>
      </c>
      <c r="E14" s="73">
        <v>1.0046999999999999</v>
      </c>
      <c r="F14" s="73">
        <v>1.0046999999999999</v>
      </c>
      <c r="G14" s="73">
        <v>1.0046999999999999</v>
      </c>
      <c r="H14" s="73">
        <v>1.0046999999999999</v>
      </c>
      <c r="I14" s="73">
        <v>1.0046999999999999</v>
      </c>
      <c r="J14" s="73">
        <v>1.0046999999999999</v>
      </c>
      <c r="K14" s="73">
        <v>1.0046999999999999</v>
      </c>
      <c r="L14" s="73">
        <v>1.0046999999999999</v>
      </c>
      <c r="M14" s="73">
        <v>1.0046999999999999</v>
      </c>
      <c r="N14" s="73">
        <v>1.0046999999999999</v>
      </c>
      <c r="O14" s="73">
        <v>1.0046999999999999</v>
      </c>
      <c r="P14" s="73">
        <v>1.0046999999999999</v>
      </c>
      <c r="Q14" s="73">
        <v>1.0046999999999999</v>
      </c>
      <c r="R14" s="73">
        <v>1.0046999999999999</v>
      </c>
      <c r="S14" s="73">
        <v>1.0046999999999999</v>
      </c>
      <c r="T14" s="73">
        <v>1.0046999999999999</v>
      </c>
      <c r="U14" s="73">
        <v>1.0046999999999999</v>
      </c>
      <c r="V14" s="73">
        <v>1.0045999999999999</v>
      </c>
      <c r="W14" s="73">
        <v>1.0045999999999999</v>
      </c>
      <c r="X14" s="73">
        <v>1.0045999999999999</v>
      </c>
      <c r="Y14" s="73">
        <v>1.0045999999999999</v>
      </c>
      <c r="Z14" s="73">
        <v>1.0045999999999999</v>
      </c>
      <c r="AA14" s="73">
        <v>1.0045999999999999</v>
      </c>
      <c r="AB14" s="73">
        <v>1.0045999999999999</v>
      </c>
      <c r="AC14" s="73">
        <v>1.0045999999999999</v>
      </c>
      <c r="AD14" s="73">
        <v>1.0045999999999999</v>
      </c>
      <c r="AE14" s="73">
        <v>1.0045999999999999</v>
      </c>
      <c r="AF14" s="73">
        <v>1.0044999999999999</v>
      </c>
      <c r="AG14" s="73">
        <v>1.0044999999999999</v>
      </c>
      <c r="AH14" s="73">
        <v>1.0044999999999999</v>
      </c>
      <c r="AI14" s="73">
        <v>1.0044999999999999</v>
      </c>
      <c r="AJ14" s="73">
        <v>1.0044999999999999</v>
      </c>
      <c r="AK14" s="73">
        <v>1.0044</v>
      </c>
      <c r="AL14" s="73">
        <v>1.0044</v>
      </c>
      <c r="AM14" s="73">
        <v>1.0044</v>
      </c>
      <c r="AN14" s="73">
        <v>1.0044</v>
      </c>
      <c r="AO14" s="73">
        <v>1.0044</v>
      </c>
      <c r="AP14" s="73">
        <v>1.0043</v>
      </c>
      <c r="AQ14" s="73">
        <v>1.0043</v>
      </c>
      <c r="AR14" s="73">
        <v>1.0042</v>
      </c>
      <c r="AS14" s="73">
        <v>1.0042</v>
      </c>
      <c r="AT14" s="73">
        <v>1.0041</v>
      </c>
      <c r="AU14" s="73">
        <v>1.0041</v>
      </c>
      <c r="AV14" s="73">
        <v>1.004</v>
      </c>
      <c r="AW14" s="73">
        <v>1.004</v>
      </c>
      <c r="AX14" s="73">
        <v>1.0039</v>
      </c>
      <c r="AY14" s="73">
        <v>1.0039</v>
      </c>
      <c r="AZ14" s="73">
        <v>1.0038</v>
      </c>
      <c r="BA14" s="73">
        <v>1.0038</v>
      </c>
      <c r="BB14" s="73">
        <v>1.0037</v>
      </c>
      <c r="BC14" s="73">
        <v>1.0036</v>
      </c>
      <c r="BD14" s="73">
        <v>1.0036</v>
      </c>
      <c r="BE14" s="73">
        <v>1.0035000000000001</v>
      </c>
      <c r="BF14" s="73">
        <v>1.0034000000000001</v>
      </c>
      <c r="BG14" s="73">
        <v>1.0033000000000001</v>
      </c>
      <c r="BH14" s="73">
        <v>1.0032000000000001</v>
      </c>
      <c r="BI14" s="73">
        <v>1.0032000000000001</v>
      </c>
      <c r="BJ14" s="73">
        <v>1.0031000000000001</v>
      </c>
      <c r="BK14" s="73">
        <v>1.0029999999999999</v>
      </c>
      <c r="BL14" s="73">
        <v>1.0028999999999999</v>
      </c>
      <c r="BM14" s="73">
        <v>1.0027999999999999</v>
      </c>
      <c r="BN14" s="73">
        <v>1.0026999999999999</v>
      </c>
      <c r="BO14" s="73">
        <v>1.0025999999999999</v>
      </c>
    </row>
    <row r="15" spans="1:67">
      <c r="A15" s="82">
        <f t="shared" si="1"/>
        <v>0.79999999999999993</v>
      </c>
      <c r="B15" s="73">
        <v>1.0054000000000001</v>
      </c>
      <c r="C15" s="73">
        <v>1.0054000000000001</v>
      </c>
      <c r="D15" s="73">
        <v>1.0054000000000001</v>
      </c>
      <c r="E15" s="73">
        <v>1.0054000000000001</v>
      </c>
      <c r="F15" s="73">
        <v>1.0054000000000001</v>
      </c>
      <c r="G15" s="73">
        <v>1.0054000000000001</v>
      </c>
      <c r="H15" s="73">
        <v>1.0054000000000001</v>
      </c>
      <c r="I15" s="73">
        <v>1.0054000000000001</v>
      </c>
      <c r="J15" s="73">
        <v>1.0054000000000001</v>
      </c>
      <c r="K15" s="73">
        <v>1.0054000000000001</v>
      </c>
      <c r="L15" s="73">
        <v>1.0053000000000001</v>
      </c>
      <c r="M15" s="73">
        <v>1.0053000000000001</v>
      </c>
      <c r="N15" s="73">
        <v>1.0053000000000001</v>
      </c>
      <c r="O15" s="73">
        <v>1.0053000000000001</v>
      </c>
      <c r="P15" s="73">
        <v>1.0053000000000001</v>
      </c>
      <c r="Q15" s="73">
        <v>1.0053000000000001</v>
      </c>
      <c r="R15" s="73">
        <v>1.0053000000000001</v>
      </c>
      <c r="S15" s="73">
        <v>1.0053000000000001</v>
      </c>
      <c r="T15" s="73">
        <v>1.0053000000000001</v>
      </c>
      <c r="U15" s="73">
        <v>1.0053000000000001</v>
      </c>
      <c r="V15" s="73">
        <v>1.0053000000000001</v>
      </c>
      <c r="W15" s="73">
        <v>1.0053000000000001</v>
      </c>
      <c r="X15" s="73">
        <v>1.0053000000000001</v>
      </c>
      <c r="Y15" s="73">
        <v>1.0053000000000001</v>
      </c>
      <c r="Z15" s="73">
        <v>1.0053000000000001</v>
      </c>
      <c r="AA15" s="73">
        <v>1.0053000000000001</v>
      </c>
      <c r="AB15" s="73">
        <v>1.0053000000000001</v>
      </c>
      <c r="AC15" s="73">
        <v>1.0053000000000001</v>
      </c>
      <c r="AD15" s="73">
        <v>1.0053000000000001</v>
      </c>
      <c r="AE15" s="73">
        <v>1.0053000000000001</v>
      </c>
      <c r="AF15" s="73">
        <v>1.0052000000000001</v>
      </c>
      <c r="AG15" s="73">
        <v>1.0052000000000001</v>
      </c>
      <c r="AH15" s="73">
        <v>1.0052000000000001</v>
      </c>
      <c r="AI15" s="73">
        <v>1.0052000000000001</v>
      </c>
      <c r="AJ15" s="73">
        <v>1.0052000000000001</v>
      </c>
      <c r="AK15" s="73">
        <v>1.0049999999999999</v>
      </c>
      <c r="AL15" s="73">
        <v>1.0049999999999999</v>
      </c>
      <c r="AM15" s="73">
        <v>1.0049999999999999</v>
      </c>
      <c r="AN15" s="73">
        <v>1.0049999999999999</v>
      </c>
      <c r="AO15" s="73">
        <v>1.0049999999999999</v>
      </c>
      <c r="AP15" s="73">
        <v>1.0048999999999999</v>
      </c>
      <c r="AQ15" s="73">
        <v>1.0048999999999999</v>
      </c>
      <c r="AR15" s="73">
        <v>1.0047999999999999</v>
      </c>
      <c r="AS15" s="73">
        <v>1.0047999999999999</v>
      </c>
      <c r="AT15" s="73">
        <v>1.0046999999999999</v>
      </c>
      <c r="AU15" s="73">
        <v>1.0046999999999999</v>
      </c>
      <c r="AV15" s="73">
        <v>1.0045999999999999</v>
      </c>
      <c r="AW15" s="73">
        <v>1.0045999999999999</v>
      </c>
      <c r="AX15" s="73">
        <v>1.0044999999999999</v>
      </c>
      <c r="AY15" s="73">
        <v>1.0044999999999999</v>
      </c>
      <c r="AZ15" s="73">
        <v>1.0044</v>
      </c>
      <c r="BA15" s="73">
        <v>1.0043</v>
      </c>
      <c r="BB15" s="73">
        <v>1.0042</v>
      </c>
      <c r="BC15" s="73">
        <v>1.0042</v>
      </c>
      <c r="BD15" s="81">
        <v>1.0041</v>
      </c>
      <c r="BE15" s="81">
        <v>1.004</v>
      </c>
      <c r="BF15" s="73">
        <v>1.0039</v>
      </c>
      <c r="BG15" s="73">
        <v>1.0038</v>
      </c>
      <c r="BH15" s="73">
        <v>1.0037</v>
      </c>
      <c r="BI15" s="73">
        <v>1.0036</v>
      </c>
      <c r="BJ15" s="73">
        <v>1.0035000000000001</v>
      </c>
      <c r="BK15" s="73">
        <v>1.0034000000000001</v>
      </c>
      <c r="BL15" s="73">
        <v>1.0033000000000001</v>
      </c>
      <c r="BM15" s="73">
        <v>1.0032000000000001</v>
      </c>
      <c r="BN15" s="73">
        <v>1.0029999999999999</v>
      </c>
      <c r="BO15" s="73">
        <v>1.0028999999999999</v>
      </c>
    </row>
    <row r="16" spans="1:67">
      <c r="A16" s="82">
        <f t="shared" si="1"/>
        <v>0.89999999999999991</v>
      </c>
      <c r="B16" s="73">
        <v>1.006</v>
      </c>
      <c r="C16" s="73">
        <v>1.006</v>
      </c>
      <c r="D16" s="73">
        <v>1.006</v>
      </c>
      <c r="E16" s="73">
        <v>1.006</v>
      </c>
      <c r="F16" s="73">
        <v>1.006</v>
      </c>
      <c r="G16" s="73">
        <v>1.006</v>
      </c>
      <c r="H16" s="73">
        <v>1.006</v>
      </c>
      <c r="I16" s="73">
        <v>1.006</v>
      </c>
      <c r="J16" s="73">
        <v>1.006</v>
      </c>
      <c r="K16" s="73">
        <v>1.006</v>
      </c>
      <c r="L16" s="73">
        <v>1.006</v>
      </c>
      <c r="M16" s="73">
        <v>1.006</v>
      </c>
      <c r="N16" s="73">
        <v>1.006</v>
      </c>
      <c r="O16" s="73">
        <v>1.006</v>
      </c>
      <c r="P16" s="73">
        <v>1.006</v>
      </c>
      <c r="Q16" s="73">
        <v>1.006</v>
      </c>
      <c r="R16" s="73">
        <v>1.006</v>
      </c>
      <c r="S16" s="73">
        <v>1.006</v>
      </c>
      <c r="T16" s="73">
        <v>1.006</v>
      </c>
      <c r="U16" s="73">
        <v>1.006</v>
      </c>
      <c r="V16" s="73">
        <v>1.006</v>
      </c>
      <c r="W16" s="73">
        <v>1.006</v>
      </c>
      <c r="X16" s="73">
        <v>1.006</v>
      </c>
      <c r="Y16" s="73">
        <v>1.006</v>
      </c>
      <c r="Z16" s="73">
        <v>1.006</v>
      </c>
      <c r="AA16" s="73">
        <v>1.006</v>
      </c>
      <c r="AB16" s="73">
        <v>1.006</v>
      </c>
      <c r="AC16" s="73">
        <v>1.006</v>
      </c>
      <c r="AD16" s="73">
        <v>1.006</v>
      </c>
      <c r="AE16" s="73">
        <v>1.006</v>
      </c>
      <c r="AF16" s="73">
        <v>1.0058</v>
      </c>
      <c r="AG16" s="73">
        <v>1.0058</v>
      </c>
      <c r="AH16" s="73">
        <v>1.0058</v>
      </c>
      <c r="AI16" s="73">
        <v>1.0058</v>
      </c>
      <c r="AJ16" s="73">
        <v>1.0058</v>
      </c>
      <c r="AK16" s="73">
        <v>1.0057</v>
      </c>
      <c r="AL16" s="73">
        <v>1.0057</v>
      </c>
      <c r="AM16" s="73">
        <v>1.0057</v>
      </c>
      <c r="AN16" s="73">
        <v>1.0057</v>
      </c>
      <c r="AO16" s="73">
        <v>1.0057</v>
      </c>
      <c r="AP16" s="73">
        <v>1.0055000000000001</v>
      </c>
      <c r="AQ16" s="73">
        <v>1.0055000000000001</v>
      </c>
      <c r="AR16" s="73">
        <v>1.0054000000000001</v>
      </c>
      <c r="AS16" s="73">
        <v>1.0054000000000001</v>
      </c>
      <c r="AT16" s="73">
        <v>1.0053000000000001</v>
      </c>
      <c r="AU16" s="73">
        <v>1.0053000000000001</v>
      </c>
      <c r="AV16" s="73">
        <v>1.0052000000000001</v>
      </c>
      <c r="AW16" s="73">
        <v>1.0052000000000001</v>
      </c>
      <c r="AX16" s="73">
        <v>1.0049999999999999</v>
      </c>
      <c r="AY16" s="73">
        <v>1.0049999999999999</v>
      </c>
      <c r="AZ16" s="73">
        <v>1.0048999999999999</v>
      </c>
      <c r="BA16" s="73">
        <v>1.0047999999999999</v>
      </c>
      <c r="BB16" s="73">
        <v>1.0047999999999999</v>
      </c>
      <c r="BC16" s="73">
        <v>1.0046999999999999</v>
      </c>
      <c r="BD16" s="73">
        <v>1.0045999999999999</v>
      </c>
      <c r="BE16" s="73">
        <v>1.0044999999999999</v>
      </c>
      <c r="BF16" s="73">
        <v>1.0044</v>
      </c>
      <c r="BG16" s="73">
        <v>1.0043</v>
      </c>
      <c r="BH16" s="73">
        <v>1.0042</v>
      </c>
      <c r="BI16" s="73">
        <v>1.0041</v>
      </c>
      <c r="BJ16" s="73">
        <v>1.004</v>
      </c>
      <c r="BK16" s="73">
        <v>1.0038</v>
      </c>
      <c r="BL16" s="73">
        <v>1.0037</v>
      </c>
      <c r="BM16" s="73">
        <v>1.0036</v>
      </c>
      <c r="BN16" s="73">
        <v>1.0034000000000001</v>
      </c>
      <c r="BO16" s="73">
        <v>1.0033000000000001</v>
      </c>
    </row>
    <row r="17" spans="1:68">
      <c r="A17" s="82">
        <f t="shared" si="1"/>
        <v>0.99999999999999989</v>
      </c>
      <c r="B17" s="73">
        <v>1.0066999999999999</v>
      </c>
      <c r="C17" s="73">
        <v>1.0066999999999999</v>
      </c>
      <c r="D17" s="73">
        <v>1.0066999999999999</v>
      </c>
      <c r="E17" s="73">
        <v>1.0066999999999999</v>
      </c>
      <c r="F17" s="73">
        <v>1.0066999999999999</v>
      </c>
      <c r="G17" s="73">
        <v>1.0066999999999999</v>
      </c>
      <c r="H17" s="73">
        <v>1.0066999999999999</v>
      </c>
      <c r="I17" s="73">
        <v>1.0066999999999999</v>
      </c>
      <c r="J17" s="73">
        <v>1.0066999999999999</v>
      </c>
      <c r="K17" s="73">
        <v>1.0066999999999999</v>
      </c>
      <c r="L17" s="73">
        <v>1.0066999999999999</v>
      </c>
      <c r="M17" s="73">
        <v>1.0066999999999999</v>
      </c>
      <c r="N17" s="73">
        <v>1.0066999999999999</v>
      </c>
      <c r="O17" s="73">
        <v>1.0066999999999999</v>
      </c>
      <c r="P17" s="73">
        <v>1.0066999999999999</v>
      </c>
      <c r="Q17" s="73">
        <v>1.0066999999999999</v>
      </c>
      <c r="R17" s="73">
        <v>1.0066999999999999</v>
      </c>
      <c r="S17" s="73">
        <v>1.0066999999999999</v>
      </c>
      <c r="T17" s="73">
        <v>1.0066999999999999</v>
      </c>
      <c r="U17" s="73">
        <v>1.0066999999999999</v>
      </c>
      <c r="V17" s="73">
        <v>1.0065999999999999</v>
      </c>
      <c r="W17" s="73">
        <v>1.0065999999999999</v>
      </c>
      <c r="X17" s="73">
        <v>1.0065999999999999</v>
      </c>
      <c r="Y17" s="73">
        <v>1.0065999999999999</v>
      </c>
      <c r="Z17" s="73">
        <v>1.0065999999999999</v>
      </c>
      <c r="AA17" s="73">
        <v>1.0065999999999999</v>
      </c>
      <c r="AB17" s="73">
        <v>1.0065999999999999</v>
      </c>
      <c r="AC17" s="73">
        <v>1.0065999999999999</v>
      </c>
      <c r="AD17" s="73">
        <v>1.0065999999999999</v>
      </c>
      <c r="AE17" s="73">
        <v>1.0065999999999999</v>
      </c>
      <c r="AF17" s="73">
        <v>1.0065</v>
      </c>
      <c r="AG17" s="73">
        <v>1.0065</v>
      </c>
      <c r="AH17" s="73">
        <v>1.0065</v>
      </c>
      <c r="AI17" s="73">
        <v>1.0065</v>
      </c>
      <c r="AJ17" s="73">
        <v>1.0065</v>
      </c>
      <c r="AK17" s="73">
        <v>1.0063</v>
      </c>
      <c r="AL17" s="73">
        <v>1.0063</v>
      </c>
      <c r="AM17" s="73">
        <v>1.0063</v>
      </c>
      <c r="AN17" s="73">
        <v>1.0063</v>
      </c>
      <c r="AO17" s="73">
        <v>1.0063</v>
      </c>
      <c r="AP17" s="73">
        <v>1.0061</v>
      </c>
      <c r="AQ17" s="73">
        <v>1.0061</v>
      </c>
      <c r="AR17" s="73">
        <v>1.006</v>
      </c>
      <c r="AS17" s="73">
        <v>1.006</v>
      </c>
      <c r="AT17" s="73">
        <v>1.0059</v>
      </c>
      <c r="AU17" s="73">
        <v>1.0059</v>
      </c>
      <c r="AV17" s="73">
        <v>1.0058</v>
      </c>
      <c r="AW17" s="73">
        <v>1.0058</v>
      </c>
      <c r="AX17" s="73">
        <v>1.0056</v>
      </c>
      <c r="AY17" s="73">
        <v>1.0056</v>
      </c>
      <c r="AZ17" s="73">
        <v>1.0055000000000001</v>
      </c>
      <c r="BA17" s="73">
        <v>1.0054000000000001</v>
      </c>
      <c r="BB17" s="73">
        <v>1.0053000000000001</v>
      </c>
      <c r="BC17" s="73">
        <v>1.0052000000000001</v>
      </c>
      <c r="BD17" s="73">
        <v>1.0051000000000001</v>
      </c>
      <c r="BE17" s="73">
        <v>1.0049999999999999</v>
      </c>
      <c r="BF17" s="73">
        <v>1.0048999999999999</v>
      </c>
      <c r="BG17" s="73">
        <v>1.0047999999999999</v>
      </c>
      <c r="BH17" s="73">
        <v>1.0046999999999999</v>
      </c>
      <c r="BI17" s="73">
        <v>1.0044999999999999</v>
      </c>
      <c r="BJ17" s="73">
        <v>1.0044</v>
      </c>
      <c r="BK17" s="73">
        <v>1.0043</v>
      </c>
      <c r="BL17" s="73">
        <v>1.0041</v>
      </c>
      <c r="BM17" s="73">
        <v>1.004</v>
      </c>
      <c r="BN17" s="73">
        <v>1.0038</v>
      </c>
      <c r="BO17" s="73">
        <v>1.0037</v>
      </c>
    </row>
    <row r="18" spans="1:68">
      <c r="A18" s="82">
        <f t="shared" si="1"/>
        <v>1.0999999999999999</v>
      </c>
      <c r="B18" s="73">
        <v>1.0074000000000001</v>
      </c>
      <c r="C18" s="73">
        <v>1.0074000000000001</v>
      </c>
      <c r="D18" s="73">
        <v>1.0074000000000001</v>
      </c>
      <c r="E18" s="73">
        <v>1.0074000000000001</v>
      </c>
      <c r="F18" s="73">
        <v>1.0074000000000001</v>
      </c>
      <c r="G18" s="73">
        <v>1.0074000000000001</v>
      </c>
      <c r="H18" s="73">
        <v>1.0074000000000001</v>
      </c>
      <c r="I18" s="73">
        <v>1.0074000000000001</v>
      </c>
      <c r="J18" s="73">
        <v>1.0074000000000001</v>
      </c>
      <c r="K18" s="73">
        <v>1.0074000000000001</v>
      </c>
      <c r="L18" s="73">
        <v>1.0074000000000001</v>
      </c>
      <c r="M18" s="73">
        <v>1.0074000000000001</v>
      </c>
      <c r="N18" s="73">
        <v>1.0074000000000001</v>
      </c>
      <c r="O18" s="73">
        <v>1.0074000000000001</v>
      </c>
      <c r="P18" s="73">
        <v>1.0074000000000001</v>
      </c>
      <c r="Q18" s="73">
        <v>1.0074000000000001</v>
      </c>
      <c r="R18" s="73">
        <v>1.0074000000000001</v>
      </c>
      <c r="S18" s="73">
        <v>1.0074000000000001</v>
      </c>
      <c r="T18" s="73">
        <v>1.0074000000000001</v>
      </c>
      <c r="U18" s="73">
        <v>1.0074000000000001</v>
      </c>
      <c r="V18" s="73">
        <v>1.0073000000000001</v>
      </c>
      <c r="W18" s="73">
        <v>1.0073000000000001</v>
      </c>
      <c r="X18" s="73">
        <v>1.0073000000000001</v>
      </c>
      <c r="Y18" s="73">
        <v>1.0073000000000001</v>
      </c>
      <c r="Z18" s="73">
        <v>1.0073000000000001</v>
      </c>
      <c r="AA18" s="73">
        <v>1.0073000000000001</v>
      </c>
      <c r="AB18" s="73">
        <v>1.0073000000000001</v>
      </c>
      <c r="AC18" s="73">
        <v>1.0073000000000001</v>
      </c>
      <c r="AD18" s="73">
        <v>1.0073000000000001</v>
      </c>
      <c r="AE18" s="73">
        <v>1.0073000000000001</v>
      </c>
      <c r="AF18" s="73">
        <v>1.0071000000000001</v>
      </c>
      <c r="AG18" s="73">
        <v>1.0071000000000001</v>
      </c>
      <c r="AH18" s="73">
        <v>1.0071000000000001</v>
      </c>
      <c r="AI18" s="73">
        <v>1.0071000000000001</v>
      </c>
      <c r="AJ18" s="73">
        <v>1.0071000000000001</v>
      </c>
      <c r="AK18" s="73">
        <v>1.0068999999999999</v>
      </c>
      <c r="AL18" s="73">
        <v>1.0068999999999999</v>
      </c>
      <c r="AM18" s="73">
        <v>1.0068999999999999</v>
      </c>
      <c r="AN18" s="73">
        <v>1.0068999999999999</v>
      </c>
      <c r="AO18" s="73">
        <v>1.0068999999999999</v>
      </c>
      <c r="AP18" s="73">
        <v>1.0066999999999999</v>
      </c>
      <c r="AQ18" s="73">
        <v>1.0066999999999999</v>
      </c>
      <c r="AR18" s="73">
        <v>1.0065999999999999</v>
      </c>
      <c r="AS18" s="73">
        <v>1.0065999999999999</v>
      </c>
      <c r="AT18" s="73">
        <v>1.0065</v>
      </c>
      <c r="AU18" s="73">
        <v>1.0065</v>
      </c>
      <c r="AV18" s="73">
        <v>1.0063</v>
      </c>
      <c r="AW18" s="73">
        <v>1.0063</v>
      </c>
      <c r="AX18" s="73">
        <v>1.0062</v>
      </c>
      <c r="AY18" s="73">
        <v>1.0062</v>
      </c>
      <c r="AZ18" s="73">
        <v>1.006</v>
      </c>
      <c r="BA18" s="73">
        <v>1.0059</v>
      </c>
      <c r="BB18" s="73">
        <v>1.0059</v>
      </c>
      <c r="BC18" s="73">
        <v>1.0057</v>
      </c>
      <c r="BD18" s="73">
        <v>1.0056</v>
      </c>
      <c r="BE18" s="73">
        <v>1.0055000000000001</v>
      </c>
      <c r="BF18" s="73">
        <v>1.0054000000000001</v>
      </c>
      <c r="BG18" s="73">
        <v>1.0053000000000001</v>
      </c>
      <c r="BH18" s="73">
        <v>1.0051000000000001</v>
      </c>
      <c r="BI18" s="73">
        <v>1.0049999999999999</v>
      </c>
      <c r="BJ18" s="73">
        <v>1.0048999999999999</v>
      </c>
      <c r="BK18" s="73">
        <v>1.0046999999999999</v>
      </c>
      <c r="BL18" s="73">
        <v>1.0045999999999999</v>
      </c>
      <c r="BM18" s="73">
        <v>1.0044</v>
      </c>
      <c r="BN18" s="73">
        <v>1.0042</v>
      </c>
      <c r="BO18" s="73">
        <v>1.0041</v>
      </c>
      <c r="BP18" s="73"/>
    </row>
    <row r="19" spans="1:68">
      <c r="A19" s="82">
        <f t="shared" si="1"/>
        <v>1.2</v>
      </c>
      <c r="B19" s="81">
        <v>1.008</v>
      </c>
      <c r="C19" s="81">
        <v>1.008</v>
      </c>
      <c r="D19" s="81">
        <v>1.008</v>
      </c>
      <c r="E19" s="81">
        <v>1.008</v>
      </c>
      <c r="F19" s="81">
        <v>1.008</v>
      </c>
      <c r="G19" s="81">
        <v>1.008</v>
      </c>
      <c r="H19" s="81">
        <v>1.008</v>
      </c>
      <c r="I19" s="81">
        <v>1.008</v>
      </c>
      <c r="J19" s="81">
        <v>1.008</v>
      </c>
      <c r="K19" s="81">
        <v>1.008</v>
      </c>
      <c r="L19" s="81">
        <v>1.008</v>
      </c>
      <c r="M19" s="81">
        <v>1.008</v>
      </c>
      <c r="N19" s="81">
        <v>1.008</v>
      </c>
      <c r="O19" s="81">
        <v>1.008</v>
      </c>
      <c r="P19" s="81">
        <v>1.008</v>
      </c>
      <c r="Q19" s="81">
        <v>1.008</v>
      </c>
      <c r="R19" s="81">
        <v>1.008</v>
      </c>
      <c r="S19" s="81">
        <v>1.008</v>
      </c>
      <c r="T19" s="81">
        <v>1.008</v>
      </c>
      <c r="U19" s="81">
        <v>1.008</v>
      </c>
      <c r="V19" s="81">
        <v>1.008</v>
      </c>
      <c r="W19" s="81">
        <v>1.008</v>
      </c>
      <c r="X19" s="81">
        <v>1.008</v>
      </c>
      <c r="Y19" s="81">
        <v>1.008</v>
      </c>
      <c r="Z19" s="81">
        <v>1.008</v>
      </c>
      <c r="AA19" s="81">
        <v>1.008</v>
      </c>
      <c r="AB19" s="81">
        <v>1.008</v>
      </c>
      <c r="AC19" s="81">
        <v>1.008</v>
      </c>
      <c r="AD19" s="81">
        <v>1.008</v>
      </c>
      <c r="AE19" s="81">
        <v>1.008</v>
      </c>
      <c r="AF19" s="81">
        <v>1.0078</v>
      </c>
      <c r="AG19" s="81">
        <v>1.0078</v>
      </c>
      <c r="AH19" s="81">
        <v>1.0078</v>
      </c>
      <c r="AI19" s="81">
        <v>1.0078</v>
      </c>
      <c r="AJ19" s="81">
        <v>1.0078</v>
      </c>
      <c r="AK19" s="81">
        <v>1.0076000000000001</v>
      </c>
      <c r="AL19" s="81">
        <v>1.0076000000000001</v>
      </c>
      <c r="AM19" s="81">
        <v>1.0076000000000001</v>
      </c>
      <c r="AN19" s="81">
        <v>1.0076000000000001</v>
      </c>
      <c r="AO19" s="81">
        <v>1.0076000000000001</v>
      </c>
      <c r="AP19" s="81">
        <v>1.0073000000000001</v>
      </c>
      <c r="AQ19" s="81">
        <v>1.0073000000000001</v>
      </c>
      <c r="AR19" s="81">
        <v>1.0072000000000001</v>
      </c>
      <c r="AS19" s="81">
        <v>1.0072000000000001</v>
      </c>
      <c r="AT19" s="81">
        <v>1.0071000000000001</v>
      </c>
      <c r="AU19" s="81">
        <v>1.0071000000000001</v>
      </c>
      <c r="AV19" s="81">
        <v>1.0068999999999999</v>
      </c>
      <c r="AW19" s="81">
        <v>1.0068999999999999</v>
      </c>
      <c r="AX19" s="81">
        <v>1.0067999999999999</v>
      </c>
      <c r="AY19" s="81">
        <v>1.0067999999999999</v>
      </c>
      <c r="AZ19" s="81">
        <v>1.0065999999999999</v>
      </c>
      <c r="BA19" s="81">
        <v>1.0065</v>
      </c>
      <c r="BB19" s="81">
        <v>1.0064</v>
      </c>
      <c r="BC19" s="81">
        <v>1.0062</v>
      </c>
      <c r="BD19" s="81">
        <v>1.0061</v>
      </c>
      <c r="BE19" s="81">
        <v>1.006</v>
      </c>
      <c r="BF19" s="81">
        <v>1.0059</v>
      </c>
      <c r="BG19" s="81">
        <v>1.0058</v>
      </c>
      <c r="BH19" s="81">
        <v>1.0056</v>
      </c>
      <c r="BI19" s="81">
        <v>1.0055000000000001</v>
      </c>
      <c r="BJ19" s="81">
        <v>1.0053000000000001</v>
      </c>
      <c r="BK19" s="81">
        <v>1.0052000000000001</v>
      </c>
      <c r="BL19" s="81">
        <v>1.0049999999999999</v>
      </c>
      <c r="BM19" s="81">
        <v>1.0047999999999999</v>
      </c>
      <c r="BN19" s="81">
        <v>1.0045999999999999</v>
      </c>
      <c r="BO19" s="81">
        <v>1.0044</v>
      </c>
    </row>
    <row r="20" spans="1:68">
      <c r="A20" s="82">
        <f t="shared" si="1"/>
        <v>1.3</v>
      </c>
      <c r="B20" s="73">
        <v>1.0086999999999999</v>
      </c>
      <c r="C20" s="73">
        <v>1.0086999999999999</v>
      </c>
      <c r="D20" s="73">
        <v>1.0086999999999999</v>
      </c>
      <c r="E20" s="73">
        <v>1.0086999999999999</v>
      </c>
      <c r="F20" s="73">
        <v>1.0086999999999999</v>
      </c>
      <c r="G20" s="73">
        <v>1.0086999999999999</v>
      </c>
      <c r="H20" s="73">
        <v>1.0086999999999999</v>
      </c>
      <c r="I20" s="73">
        <v>1.0086999999999999</v>
      </c>
      <c r="J20" s="73">
        <v>1.0086999999999999</v>
      </c>
      <c r="K20" s="73">
        <v>1.0086999999999999</v>
      </c>
      <c r="L20" s="73">
        <v>1.0086999999999999</v>
      </c>
      <c r="M20" s="73">
        <v>1.0086999999999999</v>
      </c>
      <c r="N20" s="73">
        <v>1.0086999999999999</v>
      </c>
      <c r="O20" s="73">
        <v>1.0086999999999999</v>
      </c>
      <c r="P20" s="73">
        <v>1.0086999999999999</v>
      </c>
      <c r="Q20" s="73">
        <v>1.0086999999999999</v>
      </c>
      <c r="R20" s="73">
        <v>1.0086999999999999</v>
      </c>
      <c r="S20" s="73">
        <v>1.0086999999999999</v>
      </c>
      <c r="T20" s="73">
        <v>1.0086999999999999</v>
      </c>
      <c r="U20" s="73">
        <v>1.0086999999999999</v>
      </c>
      <c r="V20" s="73">
        <v>1.0085999999999999</v>
      </c>
      <c r="W20" s="73">
        <v>1.0085999999999999</v>
      </c>
      <c r="X20" s="73">
        <v>1.0085999999999999</v>
      </c>
      <c r="Y20" s="73">
        <v>1.0085999999999999</v>
      </c>
      <c r="Z20" s="73">
        <v>1.0085999999999999</v>
      </c>
      <c r="AA20" s="73">
        <v>1.0085999999999999</v>
      </c>
      <c r="AB20" s="73">
        <v>1.0085999999999999</v>
      </c>
      <c r="AC20" s="73">
        <v>1.0085999999999999</v>
      </c>
      <c r="AD20" s="73">
        <v>1.0085999999999999</v>
      </c>
      <c r="AE20" s="73">
        <v>1.0085999999999999</v>
      </c>
      <c r="AF20" s="73">
        <v>1.0084</v>
      </c>
      <c r="AG20" s="73">
        <v>1.0084</v>
      </c>
      <c r="AH20" s="73">
        <v>1.0084</v>
      </c>
      <c r="AI20" s="73">
        <v>1.0084</v>
      </c>
      <c r="AJ20" s="73">
        <v>1.0084</v>
      </c>
      <c r="AK20" s="73">
        <v>1.0082</v>
      </c>
      <c r="AL20" s="73">
        <v>1.0082</v>
      </c>
      <c r="AM20" s="73">
        <v>1.0082</v>
      </c>
      <c r="AN20" s="73">
        <v>1.0082</v>
      </c>
      <c r="AO20" s="73">
        <v>1.0082</v>
      </c>
      <c r="AP20" s="73">
        <v>1.008</v>
      </c>
      <c r="AQ20" s="73">
        <v>1.008</v>
      </c>
      <c r="AR20" s="73">
        <v>1.0078</v>
      </c>
      <c r="AS20" s="73">
        <v>1.0078</v>
      </c>
      <c r="AT20" s="73">
        <v>1.0077</v>
      </c>
      <c r="AU20" s="73">
        <v>1.0077</v>
      </c>
      <c r="AV20" s="73">
        <v>1.0075000000000001</v>
      </c>
      <c r="AW20" s="73">
        <v>1.0075000000000001</v>
      </c>
      <c r="AX20" s="73">
        <v>1.0073000000000001</v>
      </c>
      <c r="AY20" s="73">
        <v>1.0073000000000001</v>
      </c>
      <c r="AZ20" s="73">
        <v>1.0071000000000001</v>
      </c>
      <c r="BA20" s="73">
        <v>1.0069999999999999</v>
      </c>
      <c r="BB20" s="73">
        <v>1.0068999999999999</v>
      </c>
      <c r="BC20" s="73">
        <v>1.0067999999999999</v>
      </c>
      <c r="BD20" s="73">
        <v>1.0065999999999999</v>
      </c>
      <c r="BE20" s="73">
        <v>1.0065</v>
      </c>
      <c r="BF20" s="73">
        <v>1.0064</v>
      </c>
      <c r="BG20" s="73">
        <v>1.0062</v>
      </c>
      <c r="BH20" s="73">
        <v>1.0061</v>
      </c>
      <c r="BI20" s="73">
        <v>1.0059</v>
      </c>
      <c r="BJ20" s="73">
        <v>1.0058</v>
      </c>
      <c r="BK20" s="73">
        <v>1.0056</v>
      </c>
      <c r="BL20" s="73">
        <v>1.0054000000000001</v>
      </c>
      <c r="BM20" s="73">
        <v>1.0052000000000001</v>
      </c>
      <c r="BN20" s="73">
        <v>1.0049999999999999</v>
      </c>
      <c r="BO20" s="73">
        <v>1.0047999999999999</v>
      </c>
    </row>
    <row r="21" spans="1:68">
      <c r="A21" s="82">
        <f t="shared" si="1"/>
        <v>1.4000000000000001</v>
      </c>
      <c r="B21" s="73">
        <v>1.0094000000000001</v>
      </c>
      <c r="C21" s="73">
        <v>1.0094000000000001</v>
      </c>
      <c r="D21" s="73">
        <v>1.0094000000000001</v>
      </c>
      <c r="E21" s="73">
        <v>1.0094000000000001</v>
      </c>
      <c r="F21" s="73">
        <v>1.0094000000000001</v>
      </c>
      <c r="G21" s="73">
        <v>1.0094000000000001</v>
      </c>
      <c r="H21" s="73">
        <v>1.0094000000000001</v>
      </c>
      <c r="I21" s="73">
        <v>1.0094000000000001</v>
      </c>
      <c r="J21" s="73">
        <v>1.0094000000000001</v>
      </c>
      <c r="K21" s="73">
        <v>1.0094000000000001</v>
      </c>
      <c r="L21" s="73">
        <v>1.0095000000000001</v>
      </c>
      <c r="M21" s="73">
        <v>1.0095000000000001</v>
      </c>
      <c r="N21" s="73">
        <v>1.0095000000000001</v>
      </c>
      <c r="O21" s="73">
        <v>1.0095000000000001</v>
      </c>
      <c r="P21" s="73">
        <v>1.0095000000000001</v>
      </c>
      <c r="Q21" s="73">
        <v>1.0095000000000001</v>
      </c>
      <c r="R21" s="73">
        <v>1.0095000000000001</v>
      </c>
      <c r="S21" s="73">
        <v>1.0095000000000001</v>
      </c>
      <c r="T21" s="73">
        <v>1.0095000000000001</v>
      </c>
      <c r="U21" s="73">
        <v>1.0095000000000001</v>
      </c>
      <c r="V21" s="73">
        <v>1.0093000000000001</v>
      </c>
      <c r="W21" s="73">
        <v>1.0093000000000001</v>
      </c>
      <c r="X21" s="73">
        <v>1.0093000000000001</v>
      </c>
      <c r="Y21" s="73">
        <v>1.0093000000000001</v>
      </c>
      <c r="Z21" s="73">
        <v>1.0093000000000001</v>
      </c>
      <c r="AA21" s="73">
        <v>1.0093000000000001</v>
      </c>
      <c r="AB21" s="73">
        <v>1.0093000000000001</v>
      </c>
      <c r="AC21" s="73">
        <v>1.0093000000000001</v>
      </c>
      <c r="AD21" s="73">
        <v>1.0093000000000001</v>
      </c>
      <c r="AE21" s="73">
        <v>1.0093000000000001</v>
      </c>
      <c r="AF21" s="73">
        <v>1.0091000000000001</v>
      </c>
      <c r="AG21" s="73">
        <v>1.0091000000000001</v>
      </c>
      <c r="AH21" s="73">
        <v>1.0091000000000001</v>
      </c>
      <c r="AI21" s="73">
        <v>1.0091000000000001</v>
      </c>
      <c r="AJ21" s="73">
        <v>1.0091000000000001</v>
      </c>
      <c r="AK21" s="73">
        <v>1.0088999999999999</v>
      </c>
      <c r="AL21" s="73">
        <v>1.0088999999999999</v>
      </c>
      <c r="AM21" s="73">
        <v>1.0088999999999999</v>
      </c>
      <c r="AN21" s="73">
        <v>1.0088999999999999</v>
      </c>
      <c r="AO21" s="73">
        <v>1.0088999999999999</v>
      </c>
      <c r="AP21" s="73">
        <v>1.0085999999999999</v>
      </c>
      <c r="AQ21" s="73">
        <v>1.0085999999999999</v>
      </c>
      <c r="AR21" s="73">
        <v>1.0084</v>
      </c>
      <c r="AS21" s="73">
        <v>1.0084</v>
      </c>
      <c r="AT21" s="73">
        <v>1.0083</v>
      </c>
      <c r="AU21" s="73">
        <v>1.0083</v>
      </c>
      <c r="AV21" s="73">
        <v>1.0081</v>
      </c>
      <c r="AW21" s="73">
        <v>1.0081</v>
      </c>
      <c r="AX21" s="73">
        <v>1.0079</v>
      </c>
      <c r="AY21" s="73">
        <v>1.0079</v>
      </c>
      <c r="AZ21" s="73">
        <v>1.0077</v>
      </c>
      <c r="BA21" s="73">
        <v>1.0076000000000001</v>
      </c>
      <c r="BB21" s="73">
        <v>1.0074000000000001</v>
      </c>
      <c r="BC21" s="73">
        <v>1.0073000000000001</v>
      </c>
      <c r="BD21" s="73">
        <v>1.0072000000000001</v>
      </c>
      <c r="BE21" s="73">
        <v>1.0069999999999999</v>
      </c>
      <c r="BF21" s="73">
        <v>1.0068999999999999</v>
      </c>
      <c r="BG21" s="73">
        <v>1.0076000000000001</v>
      </c>
      <c r="BH21" s="73">
        <v>1.0065999999999999</v>
      </c>
      <c r="BI21" s="73">
        <v>1.0064</v>
      </c>
      <c r="BJ21" s="73">
        <v>1.0062</v>
      </c>
      <c r="BK21" s="73">
        <v>1.006</v>
      </c>
      <c r="BL21" s="73">
        <v>1.0058</v>
      </c>
      <c r="BM21" s="73">
        <v>1.0056</v>
      </c>
      <c r="BN21" s="73">
        <v>1.0054000000000001</v>
      </c>
      <c r="BO21" s="73">
        <v>1.0052000000000001</v>
      </c>
    </row>
    <row r="22" spans="1:68">
      <c r="A22" s="82">
        <f t="shared" si="1"/>
        <v>1.5000000000000002</v>
      </c>
      <c r="B22" s="73">
        <v>1.0101</v>
      </c>
      <c r="C22" s="73">
        <v>1.0101</v>
      </c>
      <c r="D22" s="73">
        <v>1.0101</v>
      </c>
      <c r="E22" s="73">
        <v>1.0101</v>
      </c>
      <c r="F22" s="73">
        <v>1.0101</v>
      </c>
      <c r="G22" s="73">
        <v>1.0101</v>
      </c>
      <c r="H22" s="73">
        <v>1.0101</v>
      </c>
      <c r="I22" s="73">
        <v>1.0101</v>
      </c>
      <c r="J22" s="73">
        <v>1.0101</v>
      </c>
      <c r="K22" s="73">
        <v>1.0101</v>
      </c>
      <c r="L22" s="73">
        <v>1.0101</v>
      </c>
      <c r="M22" s="73">
        <v>1.0101</v>
      </c>
      <c r="N22" s="73">
        <v>1.0101</v>
      </c>
      <c r="O22" s="73">
        <v>1.0101</v>
      </c>
      <c r="P22" s="73">
        <v>1.0101</v>
      </c>
      <c r="Q22" s="73">
        <v>1.0101</v>
      </c>
      <c r="R22" s="73">
        <v>1.0101</v>
      </c>
      <c r="S22" s="73">
        <v>1.0101</v>
      </c>
      <c r="T22" s="73">
        <v>1.0101</v>
      </c>
      <c r="U22" s="73">
        <v>1.0101</v>
      </c>
      <c r="V22" s="73">
        <v>1.01</v>
      </c>
      <c r="W22" s="73">
        <v>1.01</v>
      </c>
      <c r="X22" s="73">
        <v>1.01</v>
      </c>
      <c r="Y22" s="73">
        <v>1.01</v>
      </c>
      <c r="Z22" s="73">
        <v>1.01</v>
      </c>
      <c r="AA22" s="73">
        <v>1.01</v>
      </c>
      <c r="AB22" s="73">
        <v>1.01</v>
      </c>
      <c r="AC22" s="73">
        <v>1.01</v>
      </c>
      <c r="AD22" s="73">
        <v>1.01</v>
      </c>
      <c r="AE22" s="73">
        <v>1.01</v>
      </c>
      <c r="AF22" s="73">
        <v>1.0097</v>
      </c>
      <c r="AG22" s="73">
        <v>1.0097</v>
      </c>
      <c r="AH22" s="73">
        <v>1.0097</v>
      </c>
      <c r="AI22" s="73">
        <v>1.0097</v>
      </c>
      <c r="AJ22" s="73">
        <v>1.0097</v>
      </c>
      <c r="AK22" s="73">
        <v>1.0095000000000001</v>
      </c>
      <c r="AL22" s="73">
        <v>1.0095000000000001</v>
      </c>
      <c r="AM22" s="73">
        <v>1.0095000000000001</v>
      </c>
      <c r="AN22" s="73">
        <v>1.0095000000000001</v>
      </c>
      <c r="AO22" s="73">
        <v>1.0095000000000001</v>
      </c>
      <c r="AP22" s="73">
        <v>1.0092000000000001</v>
      </c>
      <c r="AQ22" s="73">
        <v>1.0092000000000001</v>
      </c>
      <c r="AR22" s="73">
        <v>1.0089999999999999</v>
      </c>
      <c r="AS22" s="73">
        <v>1.0089999999999999</v>
      </c>
      <c r="AT22" s="73">
        <v>1.0088999999999999</v>
      </c>
      <c r="AU22" s="73">
        <v>1.0088999999999999</v>
      </c>
      <c r="AV22" s="73">
        <v>1.0086999999999999</v>
      </c>
      <c r="AW22" s="73">
        <v>1.0086999999999999</v>
      </c>
      <c r="AX22" s="73">
        <v>1.0085</v>
      </c>
      <c r="AY22" s="73">
        <v>1.0085</v>
      </c>
      <c r="AZ22" s="73">
        <v>1.0082</v>
      </c>
      <c r="BA22" s="73">
        <v>1.0081</v>
      </c>
      <c r="BB22" s="73">
        <v>1.0029999999999999</v>
      </c>
      <c r="BC22" s="73">
        <v>1.0078</v>
      </c>
      <c r="BD22" s="73">
        <v>1.0077</v>
      </c>
      <c r="BE22" s="73">
        <v>1.0076000000000001</v>
      </c>
      <c r="BF22" s="73">
        <v>1.0074000000000001</v>
      </c>
      <c r="BG22" s="73">
        <v>1.0072000000000001</v>
      </c>
      <c r="BH22" s="73">
        <v>1.0069999999999999</v>
      </c>
      <c r="BI22" s="73">
        <v>1.0068999999999999</v>
      </c>
      <c r="BJ22" s="73">
        <v>1.0066999999999999</v>
      </c>
      <c r="BK22" s="73">
        <v>1.0065</v>
      </c>
      <c r="BL22" s="73">
        <v>1.0063</v>
      </c>
      <c r="BM22" s="73">
        <v>1.006</v>
      </c>
      <c r="BN22" s="73">
        <v>1.0058</v>
      </c>
      <c r="BO22" s="73">
        <v>1.0056</v>
      </c>
    </row>
    <row r="23" spans="1:68">
      <c r="A23" s="82">
        <f t="shared" si="1"/>
        <v>1.6000000000000003</v>
      </c>
      <c r="B23" s="73">
        <v>1.0107999999999999</v>
      </c>
      <c r="C23" s="73">
        <v>1.0107999999999999</v>
      </c>
      <c r="D23" s="73">
        <v>1.0107999999999999</v>
      </c>
      <c r="E23" s="73">
        <v>1.0107999999999999</v>
      </c>
      <c r="F23" s="73">
        <v>1.0107999999999999</v>
      </c>
      <c r="G23" s="73">
        <v>1.0107999999999999</v>
      </c>
      <c r="H23" s="73">
        <v>1.0107999999999999</v>
      </c>
      <c r="I23" s="73">
        <v>1.0107999999999999</v>
      </c>
      <c r="J23" s="73">
        <v>1.0107999999999999</v>
      </c>
      <c r="K23" s="73">
        <v>1.0107999999999999</v>
      </c>
      <c r="L23" s="73">
        <v>1.0106999999999999</v>
      </c>
      <c r="M23" s="73">
        <v>1.0106999999999999</v>
      </c>
      <c r="N23" s="73">
        <v>1.0106999999999999</v>
      </c>
      <c r="O23" s="73">
        <v>1.0106999999999999</v>
      </c>
      <c r="P23" s="73">
        <v>1.0106999999999999</v>
      </c>
      <c r="Q23" s="73">
        <v>1.0106999999999999</v>
      </c>
      <c r="R23" s="73">
        <v>1.0106999999999999</v>
      </c>
      <c r="S23" s="73">
        <v>1.0106999999999999</v>
      </c>
      <c r="T23" s="73">
        <v>1.0106999999999999</v>
      </c>
      <c r="U23" s="73">
        <v>1.0106999999999999</v>
      </c>
      <c r="V23" s="73">
        <v>1.0016</v>
      </c>
      <c r="W23" s="73">
        <v>1.0016</v>
      </c>
      <c r="X23" s="73">
        <v>1.0016</v>
      </c>
      <c r="Y23" s="73">
        <v>1.0016</v>
      </c>
      <c r="Z23" s="73">
        <v>1.0016</v>
      </c>
      <c r="AA23" s="73">
        <v>1.0016</v>
      </c>
      <c r="AB23" s="73">
        <v>1.0016</v>
      </c>
      <c r="AC23" s="73">
        <v>1.0016</v>
      </c>
      <c r="AD23" s="73">
        <v>1.0016</v>
      </c>
      <c r="AE23" s="73">
        <v>1.0016</v>
      </c>
      <c r="AF23" s="73">
        <v>1.0104</v>
      </c>
      <c r="AG23" s="73">
        <v>1.0104</v>
      </c>
      <c r="AH23" s="73">
        <v>1.0104</v>
      </c>
      <c r="AI23" s="73">
        <v>1.0104</v>
      </c>
      <c r="AJ23" s="73">
        <v>1.0104</v>
      </c>
      <c r="AK23" s="73">
        <v>1.0101</v>
      </c>
      <c r="AL23" s="73">
        <v>1.0101</v>
      </c>
      <c r="AM23" s="73">
        <v>1.0101</v>
      </c>
      <c r="AN23" s="73">
        <v>1.0101</v>
      </c>
      <c r="AO23" s="73">
        <v>1.0101</v>
      </c>
      <c r="AP23" s="73">
        <v>1.0098</v>
      </c>
      <c r="AQ23" s="73">
        <v>1.0098</v>
      </c>
      <c r="AR23" s="73">
        <v>1.0096000000000001</v>
      </c>
      <c r="AS23" s="73">
        <v>1.0096000000000001</v>
      </c>
      <c r="AT23" s="73">
        <v>1.0095000000000001</v>
      </c>
      <c r="AU23" s="73">
        <v>1.0095000000000001</v>
      </c>
      <c r="AV23" s="73">
        <v>1.0093000000000001</v>
      </c>
      <c r="AW23" s="73">
        <v>1.0093000000000001</v>
      </c>
      <c r="AX23" s="73">
        <v>1.0089999999999999</v>
      </c>
      <c r="AY23" s="73">
        <v>1.0089999999999999</v>
      </c>
      <c r="AZ23" s="73">
        <v>1.0087999999999999</v>
      </c>
      <c r="BA23" s="73">
        <v>1.0086999999999999</v>
      </c>
      <c r="BB23" s="73">
        <v>1.0085</v>
      </c>
      <c r="BC23" s="73">
        <v>1.0084</v>
      </c>
      <c r="BD23" s="73">
        <v>1.0082</v>
      </c>
      <c r="BE23" s="73">
        <v>1.0081</v>
      </c>
      <c r="BF23" s="73">
        <v>1.0079</v>
      </c>
      <c r="BG23" s="73">
        <v>1.0077</v>
      </c>
      <c r="BH23" s="73">
        <v>1.0075000000000001</v>
      </c>
      <c r="BI23" s="73">
        <v>1.0073000000000001</v>
      </c>
      <c r="BJ23" s="73">
        <v>1.0071000000000001</v>
      </c>
      <c r="BK23" s="73">
        <v>1.0068999999999999</v>
      </c>
      <c r="BL23" s="73">
        <v>1.0066999999999999</v>
      </c>
      <c r="BM23" s="73">
        <v>1.0065</v>
      </c>
      <c r="BN23" s="73">
        <v>1.0062</v>
      </c>
      <c r="BO23" s="73">
        <v>1.006</v>
      </c>
    </row>
    <row r="24" spans="1:68">
      <c r="A24" s="82">
        <f t="shared" si="1"/>
        <v>1.7000000000000004</v>
      </c>
      <c r="B24" s="73">
        <v>1.0114000000000001</v>
      </c>
      <c r="C24" s="73">
        <v>1.0114000000000001</v>
      </c>
      <c r="D24" s="73">
        <v>1.0114000000000001</v>
      </c>
      <c r="E24" s="73">
        <v>1.0114000000000001</v>
      </c>
      <c r="F24" s="73">
        <v>1.0114000000000001</v>
      </c>
      <c r="G24" s="73">
        <v>1.0114000000000001</v>
      </c>
      <c r="H24" s="73">
        <v>1.0114000000000001</v>
      </c>
      <c r="I24" s="73">
        <v>1.0114000000000001</v>
      </c>
      <c r="J24" s="73">
        <v>1.0114000000000001</v>
      </c>
      <c r="K24" s="73">
        <v>1.0114000000000001</v>
      </c>
      <c r="L24" s="73">
        <v>1.0114000000000001</v>
      </c>
      <c r="M24" s="73">
        <v>1.0114000000000001</v>
      </c>
      <c r="N24" s="73">
        <v>1.0114000000000001</v>
      </c>
      <c r="O24" s="73">
        <v>1.0114000000000001</v>
      </c>
      <c r="P24" s="73">
        <v>1.0114000000000001</v>
      </c>
      <c r="Q24" s="73">
        <v>1.0114000000000001</v>
      </c>
      <c r="R24" s="73">
        <v>1.0114000000000001</v>
      </c>
      <c r="S24" s="73">
        <v>1.0114000000000001</v>
      </c>
      <c r="T24" s="73">
        <v>1.0114000000000001</v>
      </c>
      <c r="U24" s="73">
        <v>1.0114000000000001</v>
      </c>
      <c r="V24" s="73">
        <v>1.0113000000000001</v>
      </c>
      <c r="W24" s="73">
        <v>1.0113000000000001</v>
      </c>
      <c r="X24" s="73">
        <v>1.0113000000000001</v>
      </c>
      <c r="Y24" s="73">
        <v>1.0113000000000001</v>
      </c>
      <c r="Z24" s="73">
        <v>1.0113000000000001</v>
      </c>
      <c r="AA24" s="73">
        <v>1.0113000000000001</v>
      </c>
      <c r="AB24" s="73">
        <v>1.0113000000000001</v>
      </c>
      <c r="AC24" s="73">
        <v>1.0113000000000001</v>
      </c>
      <c r="AD24" s="73">
        <v>1.0113000000000001</v>
      </c>
      <c r="AE24" s="73">
        <v>1.0113000000000001</v>
      </c>
      <c r="AF24" s="73">
        <v>1.0109999999999999</v>
      </c>
      <c r="AG24" s="73">
        <v>1.0109999999999999</v>
      </c>
      <c r="AH24" s="73">
        <v>1.0109999999999999</v>
      </c>
      <c r="AI24" s="73">
        <v>1.0109999999999999</v>
      </c>
      <c r="AJ24" s="73">
        <v>1.0109999999999999</v>
      </c>
      <c r="AK24" s="73">
        <v>1.0107999999999999</v>
      </c>
      <c r="AL24" s="73">
        <v>1.0107999999999999</v>
      </c>
      <c r="AM24" s="73">
        <v>1.0107999999999999</v>
      </c>
      <c r="AN24" s="73">
        <v>1.0107999999999999</v>
      </c>
      <c r="AO24" s="73">
        <v>1.0107999999999999</v>
      </c>
      <c r="AP24" s="73">
        <v>1.0104</v>
      </c>
      <c r="AQ24" s="73">
        <v>1.0104</v>
      </c>
      <c r="AR24" s="73">
        <v>1.0013000000000001</v>
      </c>
      <c r="AS24" s="73">
        <v>1.0013000000000001</v>
      </c>
      <c r="AT24" s="73">
        <v>1.0101</v>
      </c>
      <c r="AU24" s="73">
        <v>1.0101</v>
      </c>
      <c r="AV24" s="73">
        <v>1.0099</v>
      </c>
      <c r="AW24" s="73">
        <v>1.0099</v>
      </c>
      <c r="AX24" s="73">
        <v>1.0096000000000001</v>
      </c>
      <c r="AY24" s="73">
        <v>1.0096000000000001</v>
      </c>
      <c r="AZ24" s="73">
        <v>1.0094000000000001</v>
      </c>
      <c r="BA24" s="73">
        <v>1.0092000000000001</v>
      </c>
      <c r="BB24" s="73">
        <v>1.0091000000000001</v>
      </c>
      <c r="BC24" s="73">
        <v>1.0088999999999999</v>
      </c>
      <c r="BD24" s="73">
        <v>1.0087999999999999</v>
      </c>
      <c r="BE24" s="73">
        <v>1.0085999999999999</v>
      </c>
      <c r="BF24" s="73">
        <v>1.0084</v>
      </c>
      <c r="BG24" s="73">
        <v>1.0082</v>
      </c>
      <c r="BH24" s="73">
        <v>1.008</v>
      </c>
      <c r="BI24" s="73">
        <v>1.0078</v>
      </c>
      <c r="BJ24" s="73">
        <v>1.0076000000000001</v>
      </c>
      <c r="BK24" s="73">
        <v>1.0074000000000001</v>
      </c>
      <c r="BL24" s="73">
        <v>1.0071000000000001</v>
      </c>
      <c r="BM24" s="73">
        <v>1.0068999999999999</v>
      </c>
      <c r="BN24" s="73">
        <v>1.0065999999999999</v>
      </c>
      <c r="BO24" s="73">
        <v>1.0064</v>
      </c>
    </row>
    <row r="25" spans="1:68">
      <c r="A25" s="82">
        <f t="shared" si="1"/>
        <v>1.8000000000000005</v>
      </c>
      <c r="B25" s="73">
        <v>1.0121</v>
      </c>
      <c r="C25" s="73">
        <v>1.0121</v>
      </c>
      <c r="D25" s="73">
        <v>1.0121</v>
      </c>
      <c r="E25" s="73">
        <v>1.0121</v>
      </c>
      <c r="F25" s="73">
        <v>1.0121</v>
      </c>
      <c r="G25" s="73">
        <v>1.0121</v>
      </c>
      <c r="H25" s="73">
        <v>1.0121</v>
      </c>
      <c r="I25" s="73">
        <v>1.0121</v>
      </c>
      <c r="J25" s="73">
        <v>1.0121</v>
      </c>
      <c r="K25" s="73">
        <v>1.0121</v>
      </c>
      <c r="L25" s="73">
        <v>1.0121</v>
      </c>
      <c r="M25" s="73">
        <v>1.0121</v>
      </c>
      <c r="N25" s="73">
        <v>1.0121</v>
      </c>
      <c r="O25" s="73">
        <v>1.0121</v>
      </c>
      <c r="P25" s="73">
        <v>1.0121</v>
      </c>
      <c r="Q25" s="73">
        <v>1.0121</v>
      </c>
      <c r="R25" s="73">
        <v>1.0121</v>
      </c>
      <c r="S25" s="73">
        <v>1.0121</v>
      </c>
      <c r="T25" s="73">
        <v>1.0121</v>
      </c>
      <c r="U25" s="73">
        <v>1.0121</v>
      </c>
      <c r="V25" s="73">
        <v>1.012</v>
      </c>
      <c r="W25" s="73">
        <v>1.012</v>
      </c>
      <c r="X25" s="73">
        <v>1.012</v>
      </c>
      <c r="Y25" s="73">
        <v>1.012</v>
      </c>
      <c r="Z25" s="73">
        <v>1.012</v>
      </c>
      <c r="AA25" s="73">
        <v>1.012</v>
      </c>
      <c r="AB25" s="73">
        <v>1.012</v>
      </c>
      <c r="AC25" s="73">
        <v>1.012</v>
      </c>
      <c r="AD25" s="73">
        <v>1.012</v>
      </c>
      <c r="AE25" s="73">
        <v>1.012</v>
      </c>
      <c r="AF25" s="73">
        <v>1.0117</v>
      </c>
      <c r="AG25" s="73">
        <v>1.0117</v>
      </c>
      <c r="AH25" s="73">
        <v>1.0117</v>
      </c>
      <c r="AI25" s="73">
        <v>1.0117</v>
      </c>
      <c r="AJ25" s="73">
        <v>1.0117</v>
      </c>
      <c r="AK25" s="73">
        <v>1.0114000000000001</v>
      </c>
      <c r="AL25" s="73">
        <v>1.0114000000000001</v>
      </c>
      <c r="AM25" s="73">
        <v>1.0114000000000001</v>
      </c>
      <c r="AN25" s="73">
        <v>1.0114000000000001</v>
      </c>
      <c r="AO25" s="73">
        <v>1.0114000000000001</v>
      </c>
      <c r="AP25" s="73">
        <v>1.0111000000000001</v>
      </c>
      <c r="AQ25" s="73">
        <v>1.0111000000000001</v>
      </c>
      <c r="AR25" s="73">
        <v>1.0108999999999999</v>
      </c>
      <c r="AS25" s="73">
        <v>1.0108999999999999</v>
      </c>
      <c r="AT25" s="73">
        <v>1.0106999999999999</v>
      </c>
      <c r="AU25" s="73">
        <v>1.0106999999999999</v>
      </c>
      <c r="AV25" s="73">
        <v>1.0104</v>
      </c>
      <c r="AW25" s="73">
        <v>1.0104</v>
      </c>
      <c r="AX25" s="73">
        <v>1.0102</v>
      </c>
      <c r="AY25" s="73">
        <v>1.0102</v>
      </c>
      <c r="AZ25" s="73">
        <v>1.0099</v>
      </c>
      <c r="BA25" s="73">
        <v>1.0098</v>
      </c>
      <c r="BB25" s="73">
        <v>1.0096000000000001</v>
      </c>
      <c r="BC25" s="73">
        <v>1.0094000000000001</v>
      </c>
      <c r="BD25" s="73">
        <v>1.0093000000000001</v>
      </c>
      <c r="BE25" s="73">
        <v>1.0091000000000001</v>
      </c>
      <c r="BF25" s="73">
        <v>1.0088999999999999</v>
      </c>
      <c r="BG25" s="73">
        <v>1.0086999999999999</v>
      </c>
      <c r="BH25" s="73">
        <v>1.0085</v>
      </c>
      <c r="BI25" s="73">
        <v>1.0083</v>
      </c>
      <c r="BJ25" s="73">
        <v>1.008</v>
      </c>
      <c r="BK25" s="73">
        <v>1.0078</v>
      </c>
      <c r="BL25" s="73">
        <v>1.0076000000000001</v>
      </c>
      <c r="BM25" s="73">
        <v>1.0073000000000001</v>
      </c>
      <c r="BN25" s="73">
        <v>1.0069999999999999</v>
      </c>
      <c r="BO25" s="73">
        <v>1.0067999999999999</v>
      </c>
    </row>
    <row r="26" spans="1:68">
      <c r="A26" s="82">
        <f t="shared" si="1"/>
        <v>1.9000000000000006</v>
      </c>
      <c r="B26" s="73">
        <v>1.0127999999999999</v>
      </c>
      <c r="C26" s="73">
        <v>1.0127999999999999</v>
      </c>
      <c r="D26" s="73">
        <v>1.0127999999999999</v>
      </c>
      <c r="E26" s="73">
        <v>1.0127999999999999</v>
      </c>
      <c r="F26" s="73">
        <v>1.0127999999999999</v>
      </c>
      <c r="G26" s="73">
        <v>1.0127999999999999</v>
      </c>
      <c r="H26" s="73">
        <v>1.0127999999999999</v>
      </c>
      <c r="I26" s="73">
        <v>1.0127999999999999</v>
      </c>
      <c r="J26" s="73">
        <v>1.0127999999999999</v>
      </c>
      <c r="K26" s="73">
        <v>1.0127999999999999</v>
      </c>
      <c r="L26" s="73">
        <v>1.0127999999999999</v>
      </c>
      <c r="M26" s="73">
        <v>1.0127999999999999</v>
      </c>
      <c r="N26" s="73">
        <v>1.0127999999999999</v>
      </c>
      <c r="O26" s="73">
        <v>1.0127999999999999</v>
      </c>
      <c r="P26" s="73">
        <v>1.0127999999999999</v>
      </c>
      <c r="Q26" s="73">
        <v>1.0127999999999999</v>
      </c>
      <c r="R26" s="73">
        <v>1.0127999999999999</v>
      </c>
      <c r="S26" s="73">
        <v>1.0127999999999999</v>
      </c>
      <c r="T26" s="73">
        <v>1.0127999999999999</v>
      </c>
      <c r="U26" s="73">
        <v>1.0127999999999999</v>
      </c>
      <c r="V26" s="73">
        <v>1.0125999999999999</v>
      </c>
      <c r="W26" s="73">
        <v>1.0125999999999999</v>
      </c>
      <c r="X26" s="73">
        <v>1.0125999999999999</v>
      </c>
      <c r="Y26" s="73">
        <v>1.0125999999999999</v>
      </c>
      <c r="Z26" s="73">
        <v>1.0125999999999999</v>
      </c>
      <c r="AA26" s="73">
        <v>1.0125999999999999</v>
      </c>
      <c r="AB26" s="73">
        <v>1.0125999999999999</v>
      </c>
      <c r="AC26" s="73">
        <v>1.0125999999999999</v>
      </c>
      <c r="AD26" s="73">
        <v>1.0125999999999999</v>
      </c>
      <c r="AE26" s="73">
        <v>1.0125999999999999</v>
      </c>
      <c r="AF26" s="73">
        <v>1.0123</v>
      </c>
      <c r="AG26" s="73">
        <v>1.0123</v>
      </c>
      <c r="AH26" s="73">
        <v>1.0123</v>
      </c>
      <c r="AI26" s="73">
        <v>1.0123</v>
      </c>
      <c r="AJ26" s="73">
        <v>1.0123</v>
      </c>
      <c r="AK26" s="73">
        <v>1.0121</v>
      </c>
      <c r="AL26" s="73">
        <v>1.0121</v>
      </c>
      <c r="AM26" s="73">
        <v>1.0121</v>
      </c>
      <c r="AN26" s="73">
        <v>1.0121</v>
      </c>
      <c r="AO26" s="73">
        <v>1.0121</v>
      </c>
      <c r="AP26" s="73">
        <v>1.0117</v>
      </c>
      <c r="AQ26" s="73">
        <v>1.0117</v>
      </c>
      <c r="AR26" s="73">
        <v>1.0115000000000001</v>
      </c>
      <c r="AS26" s="73">
        <v>1.0115000000000001</v>
      </c>
      <c r="AT26" s="73">
        <v>1.0113000000000001</v>
      </c>
      <c r="AU26" s="73">
        <v>1.0113000000000001</v>
      </c>
      <c r="AV26" s="73">
        <v>1.0109999999999999</v>
      </c>
      <c r="AW26" s="73">
        <v>1.0109999999999999</v>
      </c>
      <c r="AX26" s="73">
        <v>1.0107999999999999</v>
      </c>
      <c r="AY26" s="73">
        <v>1.0107999999999999</v>
      </c>
      <c r="AZ26" s="73">
        <v>1.0105</v>
      </c>
      <c r="BA26" s="73">
        <v>1.0103</v>
      </c>
      <c r="BB26" s="73">
        <v>1.0102</v>
      </c>
      <c r="BC26" s="73">
        <v>1.01</v>
      </c>
      <c r="BD26" s="73">
        <v>1.0098</v>
      </c>
      <c r="BE26" s="73">
        <v>1.0096000000000001</v>
      </c>
      <c r="BF26" s="73">
        <v>1.0094000000000001</v>
      </c>
      <c r="BG26" s="73">
        <v>1.0092000000000001</v>
      </c>
      <c r="BH26" s="73">
        <v>1.0089999999999999</v>
      </c>
      <c r="BI26" s="73">
        <v>1.0087999999999999</v>
      </c>
      <c r="BJ26" s="73">
        <v>1.0085</v>
      </c>
      <c r="BK26" s="73">
        <v>1.0083</v>
      </c>
      <c r="BL26" s="73">
        <v>1.008</v>
      </c>
      <c r="BM26" s="73">
        <v>1.0077</v>
      </c>
      <c r="BN26" s="73">
        <v>1.0074000000000001</v>
      </c>
      <c r="BO26" s="73">
        <v>1.0071000000000001</v>
      </c>
    </row>
    <row r="27" spans="1:68">
      <c r="A27" s="82">
        <f t="shared" si="1"/>
        <v>2.0000000000000004</v>
      </c>
      <c r="B27" s="73">
        <v>1.0135000000000001</v>
      </c>
      <c r="C27" s="73">
        <v>1.0135000000000001</v>
      </c>
      <c r="D27" s="73">
        <v>1.0135000000000001</v>
      </c>
      <c r="E27" s="73">
        <v>1.0135000000000001</v>
      </c>
      <c r="F27" s="73">
        <v>1.0135000000000001</v>
      </c>
      <c r="G27" s="73">
        <v>1.0135000000000001</v>
      </c>
      <c r="H27" s="73">
        <v>1.0135000000000001</v>
      </c>
      <c r="I27" s="73">
        <v>1.0135000000000001</v>
      </c>
      <c r="J27" s="73">
        <v>1.0135000000000001</v>
      </c>
      <c r="K27" s="73">
        <v>1.0135000000000001</v>
      </c>
      <c r="L27" s="73">
        <v>1.0134000000000001</v>
      </c>
      <c r="M27" s="73">
        <v>1.0134000000000001</v>
      </c>
      <c r="N27" s="73">
        <v>1.0134000000000001</v>
      </c>
      <c r="O27" s="73">
        <v>1.0134000000000001</v>
      </c>
      <c r="P27" s="73">
        <v>1.0134000000000001</v>
      </c>
      <c r="Q27" s="73">
        <v>1.0134000000000001</v>
      </c>
      <c r="R27" s="73">
        <v>1.0134000000000001</v>
      </c>
      <c r="S27" s="73">
        <v>1.0134000000000001</v>
      </c>
      <c r="T27" s="73">
        <v>1.0134000000000001</v>
      </c>
      <c r="U27" s="73">
        <v>1.0134000000000001</v>
      </c>
      <c r="V27" s="73">
        <v>1.0133000000000001</v>
      </c>
      <c r="W27" s="73">
        <v>1.0133000000000001</v>
      </c>
      <c r="X27" s="73">
        <v>1.0133000000000001</v>
      </c>
      <c r="Y27" s="73">
        <v>1.0133000000000001</v>
      </c>
      <c r="Z27" s="73">
        <v>1.0133000000000001</v>
      </c>
      <c r="AA27" s="73">
        <v>1.0133000000000001</v>
      </c>
      <c r="AB27" s="73">
        <v>1.0133000000000001</v>
      </c>
      <c r="AC27" s="73">
        <v>1.0133000000000001</v>
      </c>
      <c r="AD27" s="73">
        <v>1.0133000000000001</v>
      </c>
      <c r="AE27" s="73">
        <v>1.0133000000000001</v>
      </c>
      <c r="AF27" s="73">
        <v>1.0129999999999999</v>
      </c>
      <c r="AG27" s="73">
        <v>1.0129999999999999</v>
      </c>
      <c r="AH27" s="73">
        <v>1.0129999999999999</v>
      </c>
      <c r="AI27" s="73">
        <v>1.0129999999999999</v>
      </c>
      <c r="AJ27" s="73">
        <v>1.0129999999999999</v>
      </c>
      <c r="AK27" s="73">
        <v>1.0126999999999999</v>
      </c>
      <c r="AL27" s="73">
        <v>1.0126999999999999</v>
      </c>
      <c r="AM27" s="73">
        <v>1.0126999999999999</v>
      </c>
      <c r="AN27" s="73">
        <v>1.0126999999999999</v>
      </c>
      <c r="AO27" s="73">
        <v>1.0126999999999999</v>
      </c>
      <c r="AP27" s="73">
        <v>1.0123</v>
      </c>
      <c r="AQ27" s="73">
        <v>1.0123</v>
      </c>
      <c r="AR27" s="73">
        <v>1.0121</v>
      </c>
      <c r="AS27" s="73">
        <v>1.0121</v>
      </c>
      <c r="AT27" s="73">
        <v>1.0119</v>
      </c>
      <c r="AU27" s="73">
        <v>1.0119</v>
      </c>
      <c r="AV27" s="73">
        <v>1.0116000000000001</v>
      </c>
      <c r="AW27" s="73">
        <v>1.0116000000000001</v>
      </c>
      <c r="AX27" s="73">
        <v>1.0114000000000001</v>
      </c>
      <c r="AY27" s="73">
        <v>1.0114000000000001</v>
      </c>
      <c r="AZ27" s="73">
        <v>1.0109999999999999</v>
      </c>
      <c r="BA27" s="73">
        <v>1.0108999999999999</v>
      </c>
      <c r="BB27" s="73">
        <v>1.0106999999999999</v>
      </c>
      <c r="BC27" s="73">
        <v>1.0105</v>
      </c>
      <c r="BD27" s="73">
        <v>1.0103</v>
      </c>
      <c r="BE27" s="73">
        <v>1.0101</v>
      </c>
      <c r="BF27" s="73">
        <v>1.0099</v>
      </c>
      <c r="BG27" s="73">
        <v>1.0097</v>
      </c>
      <c r="BH27" s="73">
        <v>1.0095000000000001</v>
      </c>
      <c r="BI27" s="73">
        <v>1.0092000000000001</v>
      </c>
      <c r="BJ27" s="73">
        <v>1.0089999999999999</v>
      </c>
      <c r="BK27" s="73">
        <v>1.0086999999999999</v>
      </c>
      <c r="BL27" s="73">
        <v>1.0084</v>
      </c>
      <c r="BM27" s="73">
        <v>1.0081</v>
      </c>
      <c r="BN27" s="73">
        <v>1.0078</v>
      </c>
      <c r="BO27" s="73">
        <v>1.0075000000000001</v>
      </c>
    </row>
    <row r="28" spans="1:68">
      <c r="A28" s="82">
        <f t="shared" si="1"/>
        <v>2.1000000000000005</v>
      </c>
      <c r="B28" s="73">
        <v>1.0142</v>
      </c>
      <c r="C28" s="73">
        <v>1.0142</v>
      </c>
      <c r="D28" s="73">
        <v>1.0142</v>
      </c>
      <c r="E28" s="73">
        <v>1.0142</v>
      </c>
      <c r="F28" s="73">
        <v>1.0142</v>
      </c>
      <c r="G28" s="73">
        <v>1.0142</v>
      </c>
      <c r="H28" s="73">
        <v>1.0142</v>
      </c>
      <c r="I28" s="73">
        <v>1.0142</v>
      </c>
      <c r="J28" s="73">
        <v>1.0142</v>
      </c>
      <c r="K28" s="73">
        <v>1.0142</v>
      </c>
      <c r="L28" s="73">
        <v>1.0141</v>
      </c>
      <c r="M28" s="73">
        <v>1.0141</v>
      </c>
      <c r="N28" s="73">
        <v>1.0141</v>
      </c>
      <c r="O28" s="73">
        <v>1.0141</v>
      </c>
      <c r="P28" s="73">
        <v>1.0141</v>
      </c>
      <c r="Q28" s="73">
        <v>1.0141</v>
      </c>
      <c r="R28" s="73">
        <v>1.0141</v>
      </c>
      <c r="S28" s="73">
        <v>1.0141</v>
      </c>
      <c r="T28" s="73">
        <v>1.0141</v>
      </c>
      <c r="U28" s="73">
        <v>1.0141</v>
      </c>
      <c r="V28" s="73">
        <v>1.014</v>
      </c>
      <c r="W28" s="73">
        <v>1.014</v>
      </c>
      <c r="X28" s="73">
        <v>1.014</v>
      </c>
      <c r="Y28" s="73">
        <v>1.014</v>
      </c>
      <c r="Z28" s="73">
        <v>1.014</v>
      </c>
      <c r="AA28" s="73">
        <v>1.014</v>
      </c>
      <c r="AB28" s="73">
        <v>1.014</v>
      </c>
      <c r="AC28" s="73">
        <v>1.014</v>
      </c>
      <c r="AD28" s="73">
        <v>1.014</v>
      </c>
      <c r="AE28" s="73">
        <v>1.014</v>
      </c>
      <c r="AF28" s="73">
        <v>1.0136000000000001</v>
      </c>
      <c r="AG28" s="73">
        <v>1.0136000000000001</v>
      </c>
      <c r="AH28" s="73">
        <v>1.0136000000000001</v>
      </c>
      <c r="AI28" s="73">
        <v>1.0136000000000001</v>
      </c>
      <c r="AJ28" s="73">
        <v>1.0136000000000001</v>
      </c>
      <c r="AK28" s="73">
        <v>1.0134000000000001</v>
      </c>
      <c r="AL28" s="73">
        <v>1.0134000000000001</v>
      </c>
      <c r="AM28" s="73">
        <v>1.0134000000000001</v>
      </c>
      <c r="AN28" s="73">
        <v>1.0134000000000001</v>
      </c>
      <c r="AO28" s="73">
        <v>1.0134000000000001</v>
      </c>
      <c r="AP28" s="73">
        <v>1.0128999999999999</v>
      </c>
      <c r="AQ28" s="73">
        <v>1.0128999999999999</v>
      </c>
      <c r="AR28" s="73">
        <v>1.0126999999999999</v>
      </c>
      <c r="AS28" s="73">
        <v>1.0126999999999999</v>
      </c>
      <c r="AT28" s="73">
        <v>1.0125</v>
      </c>
      <c r="AU28" s="73">
        <v>1.0125</v>
      </c>
      <c r="AV28" s="73">
        <v>1.0122</v>
      </c>
      <c r="AW28" s="73">
        <v>1.0122</v>
      </c>
      <c r="AX28" s="73">
        <v>1.0119</v>
      </c>
      <c r="AY28" s="73">
        <v>1.0119</v>
      </c>
      <c r="AZ28" s="73">
        <v>1.0116000000000001</v>
      </c>
      <c r="BA28" s="73">
        <v>1.0114000000000001</v>
      </c>
      <c r="BB28" s="73">
        <v>1.0112000000000001</v>
      </c>
      <c r="BC28" s="73">
        <v>1.0111000000000001</v>
      </c>
      <c r="BD28" s="73">
        <v>1.0108999999999999</v>
      </c>
      <c r="BE28" s="73">
        <v>1.0105999999999999</v>
      </c>
      <c r="BF28" s="73">
        <v>1.0104</v>
      </c>
      <c r="BG28" s="73">
        <v>1.0102</v>
      </c>
      <c r="BH28" s="73">
        <v>1.01</v>
      </c>
      <c r="BI28" s="73">
        <v>1.0097</v>
      </c>
      <c r="BJ28" s="73">
        <v>1.0094000000000001</v>
      </c>
      <c r="BK28" s="73">
        <v>1.0092000000000001</v>
      </c>
      <c r="BL28" s="73">
        <v>1.0088999999999999</v>
      </c>
      <c r="BM28" s="73">
        <v>1.0085999999999999</v>
      </c>
      <c r="BN28" s="73">
        <v>1.0083</v>
      </c>
      <c r="BO28" s="73">
        <v>1.0079</v>
      </c>
    </row>
    <row r="29" spans="1:68">
      <c r="A29" s="82">
        <f t="shared" si="1"/>
        <v>2.2000000000000006</v>
      </c>
      <c r="B29" s="73">
        <v>1.0147999999999999</v>
      </c>
      <c r="C29" s="73">
        <v>1.0147999999999999</v>
      </c>
      <c r="D29" s="73">
        <v>1.0147999999999999</v>
      </c>
      <c r="E29" s="73">
        <v>1.0147999999999999</v>
      </c>
      <c r="F29" s="73">
        <v>1.0147999999999999</v>
      </c>
      <c r="G29" s="73">
        <v>1.0147999999999999</v>
      </c>
      <c r="H29" s="73">
        <v>1.0147999999999999</v>
      </c>
      <c r="I29" s="73">
        <v>1.0147999999999999</v>
      </c>
      <c r="J29" s="73">
        <v>1.0147999999999999</v>
      </c>
      <c r="K29" s="73">
        <v>1.0147999999999999</v>
      </c>
      <c r="L29" s="73">
        <v>1.0147999999999999</v>
      </c>
      <c r="M29" s="73">
        <v>1.0147999999999999</v>
      </c>
      <c r="N29" s="73">
        <v>1.0147999999999999</v>
      </c>
      <c r="O29" s="73">
        <v>1.0147999999999999</v>
      </c>
      <c r="P29" s="73">
        <v>1.0147999999999999</v>
      </c>
      <c r="Q29" s="73">
        <v>1.0147999999999999</v>
      </c>
      <c r="R29" s="73">
        <v>1.0147999999999999</v>
      </c>
      <c r="S29" s="73">
        <v>1.0147999999999999</v>
      </c>
      <c r="T29" s="73">
        <v>1.0147999999999999</v>
      </c>
      <c r="U29" s="73">
        <v>1.0147999999999999</v>
      </c>
      <c r="V29" s="73">
        <v>1.0146999999999999</v>
      </c>
      <c r="W29" s="73">
        <v>1.0146999999999999</v>
      </c>
      <c r="X29" s="73">
        <v>1.0146999999999999</v>
      </c>
      <c r="Y29" s="73">
        <v>1.0146999999999999</v>
      </c>
      <c r="Z29" s="73">
        <v>1.0146999999999999</v>
      </c>
      <c r="AA29" s="73">
        <v>1.0146999999999999</v>
      </c>
      <c r="AB29" s="73">
        <v>1.0146999999999999</v>
      </c>
      <c r="AC29" s="73">
        <v>1.0146999999999999</v>
      </c>
      <c r="AD29" s="73">
        <v>1.0146999999999999</v>
      </c>
      <c r="AE29" s="73">
        <v>1.0146999999999999</v>
      </c>
      <c r="AF29" s="73">
        <v>1.0143</v>
      </c>
      <c r="AG29" s="73">
        <v>1.0143</v>
      </c>
      <c r="AH29" s="73">
        <v>1.0143</v>
      </c>
      <c r="AI29" s="73">
        <v>1.0143</v>
      </c>
      <c r="AJ29" s="73">
        <v>1.0143</v>
      </c>
      <c r="AK29" s="73">
        <v>1.014</v>
      </c>
      <c r="AL29" s="73">
        <v>1.014</v>
      </c>
      <c r="AM29" s="73">
        <v>1.014</v>
      </c>
      <c r="AN29" s="73">
        <v>1.014</v>
      </c>
      <c r="AO29" s="73">
        <v>1.014</v>
      </c>
      <c r="AP29" s="73">
        <v>1.0136000000000001</v>
      </c>
      <c r="AQ29" s="73">
        <v>1.0136000000000001</v>
      </c>
      <c r="AR29" s="73">
        <v>1.0133000000000001</v>
      </c>
      <c r="AS29" s="73">
        <v>1.0133000000000001</v>
      </c>
      <c r="AT29" s="73">
        <v>1.0131000000000001</v>
      </c>
      <c r="AU29" s="73">
        <v>1.0131000000000001</v>
      </c>
      <c r="AV29" s="73">
        <v>1.0127999999999999</v>
      </c>
      <c r="AW29" s="73">
        <v>1.0127999999999999</v>
      </c>
      <c r="AX29" s="73">
        <v>1.0125999999999999</v>
      </c>
      <c r="AY29" s="73">
        <v>1.0125999999999999</v>
      </c>
      <c r="AZ29" s="73">
        <v>1.0122</v>
      </c>
      <c r="BA29" s="73">
        <v>1.012</v>
      </c>
      <c r="BB29" s="73">
        <v>1.0118</v>
      </c>
      <c r="BC29" s="73">
        <v>1.0116000000000001</v>
      </c>
      <c r="BD29" s="73">
        <v>1.0114000000000001</v>
      </c>
      <c r="BE29" s="73">
        <v>1.0112000000000001</v>
      </c>
      <c r="BF29" s="73">
        <v>1.0108999999999999</v>
      </c>
      <c r="BG29" s="73">
        <v>1.0106999999999999</v>
      </c>
      <c r="BH29" s="73">
        <v>1.0104</v>
      </c>
      <c r="BI29" s="73">
        <v>1.0102</v>
      </c>
      <c r="BJ29" s="73">
        <v>1.0099</v>
      </c>
      <c r="BK29" s="73">
        <v>1.0008999999999999</v>
      </c>
      <c r="BL29" s="73">
        <v>1.0093000000000001</v>
      </c>
      <c r="BM29" s="73">
        <v>1.0089999999999999</v>
      </c>
      <c r="BN29" s="73">
        <v>1.0086999999999999</v>
      </c>
      <c r="BO29" s="73">
        <v>1.0083</v>
      </c>
    </row>
    <row r="30" spans="1:68">
      <c r="A30" s="82">
        <f t="shared" si="1"/>
        <v>2.3000000000000007</v>
      </c>
      <c r="B30" s="73">
        <v>1.0155000000000001</v>
      </c>
      <c r="C30" s="73">
        <v>1.0155000000000001</v>
      </c>
      <c r="D30" s="73">
        <v>1.0155000000000001</v>
      </c>
      <c r="E30" s="73">
        <v>1.0155000000000001</v>
      </c>
      <c r="F30" s="73">
        <v>1.0155000000000001</v>
      </c>
      <c r="G30" s="73">
        <v>1.0155000000000001</v>
      </c>
      <c r="H30" s="73">
        <v>1.0155000000000001</v>
      </c>
      <c r="I30" s="73">
        <v>1.0155000000000001</v>
      </c>
      <c r="J30" s="73">
        <v>1.0155000000000001</v>
      </c>
      <c r="K30" s="73">
        <v>1.0155000000000001</v>
      </c>
      <c r="L30" s="73">
        <v>1.0155000000000001</v>
      </c>
      <c r="M30" s="73">
        <v>1.0155000000000001</v>
      </c>
      <c r="N30" s="73">
        <v>1.0155000000000001</v>
      </c>
      <c r="O30" s="73">
        <v>1.0155000000000001</v>
      </c>
      <c r="P30" s="73">
        <v>1.0155000000000001</v>
      </c>
      <c r="Q30" s="73">
        <v>1.0155000000000001</v>
      </c>
      <c r="R30" s="73">
        <v>1.0155000000000001</v>
      </c>
      <c r="S30" s="73">
        <v>1.0155000000000001</v>
      </c>
      <c r="T30" s="73">
        <v>1.0155000000000001</v>
      </c>
      <c r="U30" s="73">
        <v>1.0155000000000001</v>
      </c>
      <c r="V30" s="73">
        <v>1.0154000000000001</v>
      </c>
      <c r="W30" s="73">
        <v>1.0154000000000001</v>
      </c>
      <c r="X30" s="73">
        <v>1.0154000000000001</v>
      </c>
      <c r="Y30" s="73">
        <v>1.0154000000000001</v>
      </c>
      <c r="Z30" s="73">
        <v>1.0154000000000001</v>
      </c>
      <c r="AA30" s="73">
        <v>1.0154000000000001</v>
      </c>
      <c r="AB30" s="73">
        <v>1.0154000000000001</v>
      </c>
      <c r="AC30" s="73">
        <v>1.0154000000000001</v>
      </c>
      <c r="AD30" s="73">
        <v>1.0154000000000001</v>
      </c>
      <c r="AE30" s="73">
        <v>1.0154000000000001</v>
      </c>
      <c r="AF30" s="73">
        <v>1.0149999999999999</v>
      </c>
      <c r="AG30" s="73">
        <v>1.0149999999999999</v>
      </c>
      <c r="AH30" s="73">
        <v>1.0149999999999999</v>
      </c>
      <c r="AI30" s="73">
        <v>1.0149999999999999</v>
      </c>
      <c r="AJ30" s="73">
        <v>1.0149999999999999</v>
      </c>
      <c r="AK30" s="73">
        <v>1.0145999999999999</v>
      </c>
      <c r="AL30" s="73">
        <v>1.0145999999999999</v>
      </c>
      <c r="AM30" s="73">
        <v>1.0145999999999999</v>
      </c>
      <c r="AN30" s="73">
        <v>1.0145999999999999</v>
      </c>
      <c r="AO30" s="73">
        <v>1.0145999999999999</v>
      </c>
      <c r="AP30" s="73">
        <v>1.0141</v>
      </c>
      <c r="AQ30" s="73">
        <v>1.0141</v>
      </c>
      <c r="AR30" s="73">
        <v>1.014</v>
      </c>
      <c r="AS30" s="73">
        <v>1.014</v>
      </c>
      <c r="AT30" s="73">
        <v>1.0137</v>
      </c>
      <c r="AU30" s="73">
        <v>1.0137</v>
      </c>
      <c r="AV30" s="73">
        <v>1.0134000000000001</v>
      </c>
      <c r="AW30" s="73">
        <v>1.0134000000000001</v>
      </c>
      <c r="AX30" s="73">
        <v>1.0131000000000001</v>
      </c>
      <c r="AY30" s="73">
        <v>1.0131000000000001</v>
      </c>
      <c r="AZ30" s="73">
        <v>1.0126999999999999</v>
      </c>
      <c r="BA30" s="73">
        <v>1.0125999999999999</v>
      </c>
      <c r="BB30" s="73">
        <v>1.0124</v>
      </c>
      <c r="BC30" s="73">
        <v>1.0121</v>
      </c>
      <c r="BD30" s="73">
        <v>1.0119</v>
      </c>
      <c r="BE30" s="73">
        <v>1.0117</v>
      </c>
      <c r="BF30" s="73">
        <v>1.0114000000000001</v>
      </c>
      <c r="BG30" s="73">
        <v>1.0112000000000001</v>
      </c>
      <c r="BH30" s="73">
        <v>1.0108999999999999</v>
      </c>
      <c r="BI30" s="73">
        <v>1.0105999999999999</v>
      </c>
      <c r="BJ30" s="73">
        <v>1.0104</v>
      </c>
      <c r="BK30" s="73">
        <v>1.0101</v>
      </c>
      <c r="BL30" s="73">
        <v>1.0098</v>
      </c>
      <c r="BM30" s="73">
        <v>1.0094000000000001</v>
      </c>
      <c r="BN30" s="73">
        <v>1.0091000000000001</v>
      </c>
      <c r="BO30" s="73">
        <v>1.0086999999999999</v>
      </c>
    </row>
    <row r="31" spans="1:68">
      <c r="A31" s="82">
        <f t="shared" si="1"/>
        <v>2.4000000000000008</v>
      </c>
      <c r="B31" s="73">
        <v>1.0162</v>
      </c>
      <c r="C31" s="73">
        <v>1.0162</v>
      </c>
      <c r="D31" s="73">
        <v>1.0162</v>
      </c>
      <c r="E31" s="73">
        <v>1.0162</v>
      </c>
      <c r="F31" s="73">
        <v>1.0162</v>
      </c>
      <c r="G31" s="73">
        <v>1.0162</v>
      </c>
      <c r="H31" s="73">
        <v>1.0162</v>
      </c>
      <c r="I31" s="73">
        <v>1.0162</v>
      </c>
      <c r="J31" s="73">
        <v>1.0162</v>
      </c>
      <c r="K31" s="73">
        <v>1.0162</v>
      </c>
      <c r="L31" s="73">
        <v>1.0162</v>
      </c>
      <c r="M31" s="73">
        <v>1.0162</v>
      </c>
      <c r="N31" s="73">
        <v>1.0162</v>
      </c>
      <c r="O31" s="73">
        <v>1.0162</v>
      </c>
      <c r="P31" s="73">
        <v>1.0162</v>
      </c>
      <c r="Q31" s="73">
        <v>1.0162</v>
      </c>
      <c r="R31" s="73">
        <v>1.0162</v>
      </c>
      <c r="S31" s="73">
        <v>1.0162</v>
      </c>
      <c r="T31" s="73">
        <v>1.0162</v>
      </c>
      <c r="U31" s="73">
        <v>1.0162</v>
      </c>
      <c r="V31" s="73">
        <v>1.016</v>
      </c>
      <c r="W31" s="73">
        <v>1.016</v>
      </c>
      <c r="X31" s="73">
        <v>1.016</v>
      </c>
      <c r="Y31" s="73">
        <v>1.016</v>
      </c>
      <c r="Z31" s="73">
        <v>1.016</v>
      </c>
      <c r="AA31" s="73">
        <v>1.016</v>
      </c>
      <c r="AB31" s="73">
        <v>1.016</v>
      </c>
      <c r="AC31" s="73">
        <v>1.016</v>
      </c>
      <c r="AD31" s="73">
        <v>1.016</v>
      </c>
      <c r="AE31" s="73">
        <v>1.016</v>
      </c>
      <c r="AF31" s="73">
        <v>1.0156000000000001</v>
      </c>
      <c r="AG31" s="73">
        <v>1.0156000000000001</v>
      </c>
      <c r="AH31" s="73">
        <v>1.0156000000000001</v>
      </c>
      <c r="AI31" s="73">
        <v>1.0156000000000001</v>
      </c>
      <c r="AJ31" s="73">
        <v>1.0156000000000001</v>
      </c>
      <c r="AK31" s="73">
        <v>1.0153000000000001</v>
      </c>
      <c r="AL31" s="73">
        <v>1.0153000000000001</v>
      </c>
      <c r="AM31" s="73">
        <v>1.0153000000000001</v>
      </c>
      <c r="AN31" s="73">
        <v>1.0153000000000001</v>
      </c>
      <c r="AO31" s="73">
        <v>1.0153000000000001</v>
      </c>
      <c r="AP31" s="73">
        <v>1.0147999999999999</v>
      </c>
      <c r="AQ31" s="73">
        <v>1.0147999999999999</v>
      </c>
      <c r="AR31" s="73">
        <v>1.0145999999999999</v>
      </c>
      <c r="AS31" s="73">
        <v>1.0145999999999999</v>
      </c>
      <c r="AT31" s="73">
        <v>1.0143</v>
      </c>
      <c r="AU31" s="73">
        <v>1.0143</v>
      </c>
      <c r="AV31" s="73">
        <v>1.014</v>
      </c>
      <c r="AW31" s="73">
        <v>1.014</v>
      </c>
      <c r="AX31" s="73">
        <v>1.0137</v>
      </c>
      <c r="AY31" s="73">
        <v>1.0137</v>
      </c>
      <c r="AZ31" s="73">
        <v>1.0133000000000001</v>
      </c>
      <c r="BA31" s="73">
        <v>1.0131000000000001</v>
      </c>
      <c r="BB31" s="73">
        <v>1.0128999999999999</v>
      </c>
      <c r="BC31" s="73">
        <v>1.0126999999999999</v>
      </c>
      <c r="BD31" s="73">
        <v>1.0124</v>
      </c>
      <c r="BE31" s="73">
        <v>1.0122</v>
      </c>
      <c r="BF31" s="73">
        <v>1.012</v>
      </c>
      <c r="BG31" s="73">
        <v>1.0117</v>
      </c>
      <c r="BH31" s="73">
        <v>1.0114000000000001</v>
      </c>
      <c r="BI31" s="73">
        <v>1.0111000000000001</v>
      </c>
      <c r="BJ31" s="73">
        <v>1.0107999999999999</v>
      </c>
      <c r="BK31" s="73">
        <v>1.0105</v>
      </c>
      <c r="BL31" s="73">
        <v>1.0102</v>
      </c>
      <c r="BM31" s="73">
        <v>1.0098</v>
      </c>
      <c r="BN31" s="73">
        <v>1.0095000000000001</v>
      </c>
      <c r="BO31" s="73">
        <v>1.0091000000000001</v>
      </c>
    </row>
    <row r="32" spans="1:68">
      <c r="A32" s="82">
        <f t="shared" si="1"/>
        <v>2.5000000000000009</v>
      </c>
      <c r="B32" s="73">
        <v>1.0168999999999999</v>
      </c>
      <c r="C32" s="73">
        <v>1.0168999999999999</v>
      </c>
      <c r="D32" s="73">
        <v>1.0168999999999999</v>
      </c>
      <c r="E32" s="73">
        <v>1.0168999999999999</v>
      </c>
      <c r="F32" s="73">
        <v>1.0168999999999999</v>
      </c>
      <c r="G32" s="73">
        <v>1.0168999999999999</v>
      </c>
      <c r="H32" s="73">
        <v>1.0168999999999999</v>
      </c>
      <c r="I32" s="73">
        <v>1.0168999999999999</v>
      </c>
      <c r="J32" s="73">
        <v>1.0168999999999999</v>
      </c>
      <c r="K32" s="73">
        <v>1.0168999999999999</v>
      </c>
      <c r="L32" s="73">
        <v>1.0167999999999999</v>
      </c>
      <c r="M32" s="73">
        <v>1.0167999999999999</v>
      </c>
      <c r="N32" s="73">
        <v>1.0167999999999999</v>
      </c>
      <c r="O32" s="73">
        <v>1.0167999999999999</v>
      </c>
      <c r="P32" s="73">
        <v>1.0167999999999999</v>
      </c>
      <c r="Q32" s="73">
        <v>1.0167999999999999</v>
      </c>
      <c r="R32" s="73">
        <v>1.0167999999999999</v>
      </c>
      <c r="S32" s="73">
        <v>1.0167999999999999</v>
      </c>
      <c r="T32" s="73">
        <v>1.0167999999999999</v>
      </c>
      <c r="U32" s="73">
        <v>1.0167999999999999</v>
      </c>
      <c r="V32" s="73">
        <v>1.0166999999999999</v>
      </c>
      <c r="W32" s="73">
        <v>1.0166999999999999</v>
      </c>
      <c r="X32" s="73">
        <v>1.0166999999999999</v>
      </c>
      <c r="Y32" s="73">
        <v>1.0166999999999999</v>
      </c>
      <c r="Z32" s="73">
        <v>1.0166999999999999</v>
      </c>
      <c r="AA32" s="73">
        <v>1.0166999999999999</v>
      </c>
      <c r="AB32" s="73">
        <v>1.0166999999999999</v>
      </c>
      <c r="AC32" s="73">
        <v>1.0166999999999999</v>
      </c>
      <c r="AD32" s="73">
        <v>1.0166999999999999</v>
      </c>
      <c r="AE32" s="73">
        <v>1.0166999999999999</v>
      </c>
      <c r="AF32" s="73">
        <v>1.0163</v>
      </c>
      <c r="AG32" s="73">
        <v>1.0163</v>
      </c>
      <c r="AH32" s="73">
        <v>1.0163</v>
      </c>
      <c r="AI32" s="73">
        <v>1.0163</v>
      </c>
      <c r="AJ32" s="73">
        <v>1.0163</v>
      </c>
      <c r="AK32" s="73">
        <v>1.0159</v>
      </c>
      <c r="AL32" s="73">
        <v>1.0159</v>
      </c>
      <c r="AM32" s="73">
        <v>1.0159</v>
      </c>
      <c r="AN32" s="73">
        <v>1.0159</v>
      </c>
      <c r="AO32" s="73">
        <v>1.0159</v>
      </c>
      <c r="AP32" s="73">
        <v>1.0154000000000001</v>
      </c>
      <c r="AQ32" s="73">
        <v>1.0154000000000001</v>
      </c>
      <c r="AR32" s="73">
        <v>1.0152000000000001</v>
      </c>
      <c r="AS32" s="73">
        <v>1.0152000000000001</v>
      </c>
      <c r="AT32" s="73">
        <v>1.0148999999999999</v>
      </c>
      <c r="AU32" s="73">
        <v>1.0148999999999999</v>
      </c>
      <c r="AV32" s="73">
        <v>1.0145999999999999</v>
      </c>
      <c r="AW32" s="73">
        <v>1.0145999999999999</v>
      </c>
      <c r="AX32" s="73">
        <v>1.0142</v>
      </c>
      <c r="AY32" s="73">
        <v>1.0142</v>
      </c>
      <c r="AZ32" s="73">
        <v>1.0139</v>
      </c>
      <c r="BA32" s="73">
        <v>1.0137</v>
      </c>
      <c r="BB32" s="73">
        <v>1.0134000000000001</v>
      </c>
      <c r="BC32" s="73">
        <v>1.0132000000000001</v>
      </c>
      <c r="BD32" s="73">
        <v>1.0129999999999999</v>
      </c>
      <c r="BE32" s="73">
        <v>1.0126999999999999</v>
      </c>
      <c r="BF32" s="73">
        <v>1.0125</v>
      </c>
      <c r="BG32" s="73">
        <v>1.0122</v>
      </c>
      <c r="BH32" s="73">
        <v>1.0119</v>
      </c>
      <c r="BI32" s="73">
        <v>1.0116000000000001</v>
      </c>
      <c r="BJ32" s="73">
        <v>1.0113000000000001</v>
      </c>
      <c r="BK32" s="73">
        <v>1.0109999999999999</v>
      </c>
      <c r="BL32" s="73">
        <v>1.0105999999999999</v>
      </c>
      <c r="BM32" s="73">
        <v>1.0103</v>
      </c>
      <c r="BN32" s="73">
        <v>1.0099</v>
      </c>
      <c r="BO32" s="73">
        <v>1.0095000000000001</v>
      </c>
    </row>
    <row r="33" spans="1:67">
      <c r="A33" s="82">
        <f t="shared" si="1"/>
        <v>2.600000000000001</v>
      </c>
      <c r="B33" s="73">
        <v>1.0176000000000001</v>
      </c>
      <c r="C33" s="73">
        <v>1.0176000000000001</v>
      </c>
      <c r="D33" s="73">
        <v>1.0176000000000001</v>
      </c>
      <c r="E33" s="73">
        <v>1.0176000000000001</v>
      </c>
      <c r="F33" s="73">
        <v>1.0176000000000001</v>
      </c>
      <c r="G33" s="73">
        <v>1.0176000000000001</v>
      </c>
      <c r="H33" s="73">
        <v>1.0176000000000001</v>
      </c>
      <c r="I33" s="73">
        <v>1.0176000000000001</v>
      </c>
      <c r="J33" s="73">
        <v>1.0176000000000001</v>
      </c>
      <c r="K33" s="73">
        <v>1.0176000000000001</v>
      </c>
      <c r="L33" s="73">
        <v>1.0175000000000001</v>
      </c>
      <c r="M33" s="73">
        <v>1.0175000000000001</v>
      </c>
      <c r="N33" s="73">
        <v>1.0175000000000001</v>
      </c>
      <c r="O33" s="73">
        <v>1.0175000000000001</v>
      </c>
      <c r="P33" s="73">
        <v>1.0175000000000001</v>
      </c>
      <c r="Q33" s="73">
        <v>1.0175000000000001</v>
      </c>
      <c r="R33" s="73">
        <v>1.0175000000000001</v>
      </c>
      <c r="S33" s="73">
        <v>1.0175000000000001</v>
      </c>
      <c r="T33" s="73">
        <v>1.0175000000000001</v>
      </c>
      <c r="U33" s="73">
        <v>1.0175000000000001</v>
      </c>
      <c r="V33" s="73">
        <v>1.0174000000000001</v>
      </c>
      <c r="W33" s="73">
        <v>1.0174000000000001</v>
      </c>
      <c r="X33" s="73">
        <v>1.0174000000000001</v>
      </c>
      <c r="Y33" s="73">
        <v>1.0174000000000001</v>
      </c>
      <c r="Z33" s="73">
        <v>1.0174000000000001</v>
      </c>
      <c r="AA33" s="73">
        <v>1.0174000000000001</v>
      </c>
      <c r="AB33" s="73">
        <v>1.0174000000000001</v>
      </c>
      <c r="AC33" s="73">
        <v>1.0174000000000001</v>
      </c>
      <c r="AD33" s="73">
        <v>1.0174000000000001</v>
      </c>
      <c r="AE33" s="73">
        <v>1.0174000000000001</v>
      </c>
      <c r="AF33" s="73">
        <v>1.0169999999999999</v>
      </c>
      <c r="AG33" s="73">
        <v>1.0169999999999999</v>
      </c>
      <c r="AH33" s="73">
        <v>1.0169999999999999</v>
      </c>
      <c r="AI33" s="73">
        <v>1.0169999999999999</v>
      </c>
      <c r="AJ33" s="73">
        <v>1.0169999999999999</v>
      </c>
      <c r="AK33" s="73">
        <v>1.0165999999999999</v>
      </c>
      <c r="AL33" s="73">
        <v>1.0165999999999999</v>
      </c>
      <c r="AM33" s="73">
        <v>1.0165999999999999</v>
      </c>
      <c r="AN33" s="73">
        <v>1.0165999999999999</v>
      </c>
      <c r="AO33" s="73">
        <v>1.0165999999999999</v>
      </c>
      <c r="AP33" s="73">
        <v>1.0161</v>
      </c>
      <c r="AQ33" s="73">
        <v>1.0161</v>
      </c>
      <c r="AR33" s="73">
        <v>1.0158</v>
      </c>
      <c r="AS33" s="73">
        <v>1.0158</v>
      </c>
      <c r="AT33" s="73">
        <v>1.0155000000000001</v>
      </c>
      <c r="AU33" s="73">
        <v>1.0155000000000001</v>
      </c>
      <c r="AV33" s="73">
        <v>1.0152000000000001</v>
      </c>
      <c r="AW33" s="73">
        <v>1.0152000000000001</v>
      </c>
      <c r="AX33" s="73">
        <v>1.0147999999999999</v>
      </c>
      <c r="AY33" s="73">
        <v>1.0147999999999999</v>
      </c>
      <c r="AZ33" s="73">
        <v>1.0144</v>
      </c>
      <c r="BA33" s="73">
        <v>1.0142</v>
      </c>
      <c r="BB33" s="73">
        <v>1.014</v>
      </c>
      <c r="BC33" s="73">
        <v>1.0138</v>
      </c>
      <c r="BD33" s="73">
        <v>1.0135000000000001</v>
      </c>
      <c r="BE33" s="73">
        <v>1.0133000000000001</v>
      </c>
      <c r="BF33" s="73">
        <v>1.0129999999999999</v>
      </c>
      <c r="BG33" s="73">
        <v>1.0126999999999999</v>
      </c>
      <c r="BH33" s="73">
        <v>1.0124</v>
      </c>
      <c r="BI33" s="73">
        <v>1.0121</v>
      </c>
      <c r="BJ33" s="73">
        <v>1.0118</v>
      </c>
      <c r="BK33" s="73">
        <v>1.0114000000000001</v>
      </c>
      <c r="BL33" s="73">
        <v>1.0111000000000001</v>
      </c>
      <c r="BM33" s="73">
        <v>1.0106999999999999</v>
      </c>
      <c r="BN33" s="73">
        <v>1.0103</v>
      </c>
      <c r="BO33" s="73">
        <v>1.0099</v>
      </c>
    </row>
    <row r="34" spans="1:67">
      <c r="A34" s="82">
        <f t="shared" si="1"/>
        <v>2.7000000000000011</v>
      </c>
      <c r="B34" s="73">
        <v>1.0182</v>
      </c>
      <c r="C34" s="73">
        <v>1.0182</v>
      </c>
      <c r="D34" s="73">
        <v>1.0182</v>
      </c>
      <c r="E34" s="73">
        <v>1.0182</v>
      </c>
      <c r="F34" s="73">
        <v>1.0182</v>
      </c>
      <c r="G34" s="73">
        <v>1.0182</v>
      </c>
      <c r="H34" s="73">
        <v>1.0182</v>
      </c>
      <c r="I34" s="73">
        <v>1.0182</v>
      </c>
      <c r="J34" s="73">
        <v>1.0182</v>
      </c>
      <c r="K34" s="73">
        <v>1.0182</v>
      </c>
      <c r="L34" s="73">
        <v>1.0182</v>
      </c>
      <c r="M34" s="73">
        <v>1.0182</v>
      </c>
      <c r="N34" s="73">
        <v>1.0182</v>
      </c>
      <c r="O34" s="73">
        <v>1.0182</v>
      </c>
      <c r="P34" s="73">
        <v>1.0182</v>
      </c>
      <c r="Q34" s="73">
        <v>1.0182</v>
      </c>
      <c r="R34" s="73">
        <v>1.0182</v>
      </c>
      <c r="S34" s="73">
        <v>1.0182</v>
      </c>
      <c r="T34" s="73">
        <v>1.0182</v>
      </c>
      <c r="U34" s="73">
        <v>1.0182</v>
      </c>
      <c r="V34" s="73">
        <v>1.018</v>
      </c>
      <c r="W34" s="73">
        <v>1.018</v>
      </c>
      <c r="X34" s="73">
        <v>1.018</v>
      </c>
      <c r="Y34" s="73">
        <v>1.018</v>
      </c>
      <c r="Z34" s="73">
        <v>1.018</v>
      </c>
      <c r="AA34" s="73">
        <v>1.018</v>
      </c>
      <c r="AB34" s="73">
        <v>1.018</v>
      </c>
      <c r="AC34" s="73">
        <v>1.018</v>
      </c>
      <c r="AD34" s="73">
        <v>1.018</v>
      </c>
      <c r="AE34" s="73">
        <v>1.018</v>
      </c>
      <c r="AF34" s="73">
        <v>1.0176000000000001</v>
      </c>
      <c r="AG34" s="73">
        <v>1.0176000000000001</v>
      </c>
      <c r="AH34" s="73">
        <v>1.0176000000000001</v>
      </c>
      <c r="AI34" s="73">
        <v>1.0176000000000001</v>
      </c>
      <c r="AJ34" s="73">
        <v>1.0176000000000001</v>
      </c>
      <c r="AK34" s="73">
        <v>1.0172000000000001</v>
      </c>
      <c r="AL34" s="73">
        <v>1.0172000000000001</v>
      </c>
      <c r="AM34" s="73">
        <v>1.0172000000000001</v>
      </c>
      <c r="AN34" s="73">
        <v>1.0172000000000001</v>
      </c>
      <c r="AO34" s="73">
        <v>1.0172000000000001</v>
      </c>
      <c r="AP34" s="73">
        <v>1.0166999999999999</v>
      </c>
      <c r="AQ34" s="73">
        <v>1.0166999999999999</v>
      </c>
      <c r="AR34" s="73">
        <v>1.0164</v>
      </c>
      <c r="AS34" s="73">
        <v>1.0164</v>
      </c>
      <c r="AT34" s="73">
        <v>1.0161</v>
      </c>
      <c r="AU34" s="73">
        <v>1.0161</v>
      </c>
      <c r="AV34" s="73">
        <v>1.0158</v>
      </c>
      <c r="AW34" s="73">
        <v>1.0158</v>
      </c>
      <c r="AX34" s="73">
        <v>1.0154000000000001</v>
      </c>
      <c r="AY34" s="73">
        <v>1.0154000000000001</v>
      </c>
      <c r="AZ34" s="73">
        <v>1.0149999999999999</v>
      </c>
      <c r="BA34" s="73">
        <v>1.0147999999999999</v>
      </c>
      <c r="BB34" s="73">
        <v>1.0145999999999999</v>
      </c>
      <c r="BC34" s="73">
        <v>1.0143</v>
      </c>
      <c r="BD34" s="73">
        <v>1.014</v>
      </c>
      <c r="BE34" s="73">
        <v>1.0138</v>
      </c>
      <c r="BF34" s="73">
        <v>1.0135000000000001</v>
      </c>
      <c r="BG34" s="73">
        <v>1.0132000000000001</v>
      </c>
      <c r="BH34" s="73">
        <v>1.0128999999999999</v>
      </c>
      <c r="BI34" s="73">
        <v>1.0125999999999999</v>
      </c>
      <c r="BJ34" s="73">
        <v>1.0122</v>
      </c>
      <c r="BK34" s="73">
        <v>1.0119</v>
      </c>
      <c r="BL34" s="73">
        <v>1.0115000000000001</v>
      </c>
      <c r="BM34" s="73">
        <v>1.0111000000000001</v>
      </c>
      <c r="BN34" s="73">
        <v>1.0106999999999999</v>
      </c>
      <c r="BO34" s="73">
        <v>1.0103</v>
      </c>
    </row>
    <row r="35" spans="1:67">
      <c r="A35" s="82">
        <f t="shared" si="1"/>
        <v>2.8000000000000012</v>
      </c>
      <c r="B35" s="73">
        <v>1.0188999999999999</v>
      </c>
      <c r="C35" s="73">
        <v>1.0188999999999999</v>
      </c>
      <c r="D35" s="73">
        <v>1.0188999999999999</v>
      </c>
      <c r="E35" s="73">
        <v>1.0188999999999999</v>
      </c>
      <c r="F35" s="73">
        <v>1.0188999999999999</v>
      </c>
      <c r="G35" s="73">
        <v>1.0188999999999999</v>
      </c>
      <c r="H35" s="73">
        <v>1.0188999999999999</v>
      </c>
      <c r="I35" s="73">
        <v>1.0188999999999999</v>
      </c>
      <c r="J35" s="73">
        <v>1.0188999999999999</v>
      </c>
      <c r="K35" s="73">
        <v>1.0188999999999999</v>
      </c>
      <c r="L35" s="73">
        <v>1.0188999999999999</v>
      </c>
      <c r="M35" s="73">
        <v>1.0188999999999999</v>
      </c>
      <c r="N35" s="73">
        <v>1.0188999999999999</v>
      </c>
      <c r="O35" s="73">
        <v>1.0188999999999999</v>
      </c>
      <c r="P35" s="73">
        <v>1.0188999999999999</v>
      </c>
      <c r="Q35" s="73">
        <v>1.0188999999999999</v>
      </c>
      <c r="R35" s="73">
        <v>1.0188999999999999</v>
      </c>
      <c r="S35" s="73">
        <v>1.0188999999999999</v>
      </c>
      <c r="T35" s="73">
        <v>1.0188999999999999</v>
      </c>
      <c r="U35" s="73">
        <v>1.0188999999999999</v>
      </c>
      <c r="V35" s="73">
        <v>1.0186999999999999</v>
      </c>
      <c r="W35" s="73">
        <v>1.0186999999999999</v>
      </c>
      <c r="X35" s="73">
        <v>1.0186999999999999</v>
      </c>
      <c r="Y35" s="73">
        <v>1.0186999999999999</v>
      </c>
      <c r="Z35" s="73">
        <v>1.0186999999999999</v>
      </c>
      <c r="AA35" s="73">
        <v>1.0186999999999999</v>
      </c>
      <c r="AB35" s="73">
        <v>1.0186999999999999</v>
      </c>
      <c r="AC35" s="73">
        <v>1.0186999999999999</v>
      </c>
      <c r="AD35" s="73">
        <v>1.0186999999999999</v>
      </c>
      <c r="AE35" s="73">
        <v>1.0186999999999999</v>
      </c>
      <c r="AF35" s="73">
        <v>1.0183</v>
      </c>
      <c r="AG35" s="73">
        <v>1.0183</v>
      </c>
      <c r="AH35" s="73">
        <v>1.0183</v>
      </c>
      <c r="AI35" s="73">
        <v>1.0183</v>
      </c>
      <c r="AJ35" s="73">
        <v>1.0183</v>
      </c>
      <c r="AK35" s="73">
        <v>1.0179</v>
      </c>
      <c r="AL35" s="73">
        <v>1.0179</v>
      </c>
      <c r="AM35" s="73">
        <v>1.0179</v>
      </c>
      <c r="AN35" s="73">
        <v>1.0179</v>
      </c>
      <c r="AO35" s="73">
        <v>1.0179</v>
      </c>
      <c r="AP35" s="73">
        <v>1.0173000000000001</v>
      </c>
      <c r="AQ35" s="73">
        <v>1.0173000000000001</v>
      </c>
      <c r="AR35" s="73">
        <v>1.0169999999999999</v>
      </c>
      <c r="AS35" s="73">
        <v>1.0169999999999999</v>
      </c>
      <c r="AT35" s="73">
        <v>1.0166999999999999</v>
      </c>
      <c r="AU35" s="73">
        <v>1.0166999999999999</v>
      </c>
      <c r="AV35" s="73">
        <v>1.0164</v>
      </c>
      <c r="AW35" s="73">
        <v>1.0164</v>
      </c>
      <c r="AX35" s="73">
        <v>1.016</v>
      </c>
      <c r="AY35" s="73">
        <v>1.016</v>
      </c>
      <c r="AZ35" s="73">
        <v>1.0156000000000001</v>
      </c>
      <c r="BA35" s="73">
        <v>1.0154000000000001</v>
      </c>
      <c r="BB35" s="73">
        <v>1.0150999999999999</v>
      </c>
      <c r="BC35" s="73">
        <v>1.0147999999999999</v>
      </c>
      <c r="BD35" s="73">
        <v>1.0145999999999999</v>
      </c>
      <c r="BE35" s="73">
        <v>1.0143</v>
      </c>
      <c r="BF35" s="73">
        <v>1.014</v>
      </c>
      <c r="BG35" s="73">
        <v>1.0137</v>
      </c>
      <c r="BH35" s="73">
        <v>1.0134000000000001</v>
      </c>
      <c r="BI35" s="73">
        <v>1.0131000000000001</v>
      </c>
      <c r="BJ35" s="73">
        <v>1.0126999999999999</v>
      </c>
      <c r="BK35" s="73">
        <v>1.0124</v>
      </c>
      <c r="BL35" s="73">
        <v>1.012</v>
      </c>
      <c r="BM35" s="73">
        <v>1.0116000000000001</v>
      </c>
      <c r="BN35" s="73">
        <v>1.0112000000000001</v>
      </c>
      <c r="BO35" s="73">
        <v>1.0106999999999999</v>
      </c>
    </row>
    <row r="36" spans="1:67">
      <c r="A36" s="82">
        <f t="shared" si="1"/>
        <v>2.9000000000000012</v>
      </c>
      <c r="B36" s="73">
        <v>1.0196000000000001</v>
      </c>
      <c r="C36" s="73">
        <v>1.0196000000000001</v>
      </c>
      <c r="D36" s="73">
        <v>1.0196000000000001</v>
      </c>
      <c r="E36" s="73">
        <v>1.0196000000000001</v>
      </c>
      <c r="F36" s="73">
        <v>1.0196000000000001</v>
      </c>
      <c r="G36" s="73">
        <v>1.0196000000000001</v>
      </c>
      <c r="H36" s="73">
        <v>1.0196000000000001</v>
      </c>
      <c r="I36" s="73">
        <v>1.0196000000000001</v>
      </c>
      <c r="J36" s="73">
        <v>1.0196000000000001</v>
      </c>
      <c r="K36" s="73">
        <v>1.0196000000000001</v>
      </c>
      <c r="L36" s="73">
        <v>1.0196000000000001</v>
      </c>
      <c r="M36" s="73">
        <v>1.0196000000000001</v>
      </c>
      <c r="N36" s="73">
        <v>1.0196000000000001</v>
      </c>
      <c r="O36" s="73">
        <v>1.0196000000000001</v>
      </c>
      <c r="P36" s="73">
        <v>1.0196000000000001</v>
      </c>
      <c r="Q36" s="73">
        <v>1.0196000000000001</v>
      </c>
      <c r="R36" s="73">
        <v>1.0196000000000001</v>
      </c>
      <c r="S36" s="73">
        <v>1.0196000000000001</v>
      </c>
      <c r="T36" s="73">
        <v>1.0196000000000001</v>
      </c>
      <c r="U36" s="73">
        <v>1.0196000000000001</v>
      </c>
      <c r="V36" s="73">
        <v>1.0194000000000001</v>
      </c>
      <c r="W36" s="73">
        <v>1.0194000000000001</v>
      </c>
      <c r="X36" s="73">
        <v>1.0194000000000001</v>
      </c>
      <c r="Y36" s="73">
        <v>1.0194000000000001</v>
      </c>
      <c r="Z36" s="73">
        <v>1.0194000000000001</v>
      </c>
      <c r="AA36" s="73">
        <v>1.0194000000000001</v>
      </c>
      <c r="AB36" s="73">
        <v>1.0194000000000001</v>
      </c>
      <c r="AC36" s="73">
        <v>1.0194000000000001</v>
      </c>
      <c r="AD36" s="73">
        <v>1.0194000000000001</v>
      </c>
      <c r="AE36" s="73">
        <v>1.0194000000000001</v>
      </c>
      <c r="AF36" s="73">
        <v>1.0188999999999999</v>
      </c>
      <c r="AG36" s="73">
        <v>1.0188999999999999</v>
      </c>
      <c r="AH36" s="73">
        <v>1.0188999999999999</v>
      </c>
      <c r="AI36" s="73">
        <v>1.0188999999999999</v>
      </c>
      <c r="AJ36" s="73">
        <v>1.0188999999999999</v>
      </c>
      <c r="AK36" s="73">
        <v>1.0185</v>
      </c>
      <c r="AL36" s="73">
        <v>1.0185</v>
      </c>
      <c r="AM36" s="73">
        <v>1.0185</v>
      </c>
      <c r="AN36" s="73">
        <v>1.0185</v>
      </c>
      <c r="AO36" s="73">
        <v>1.0185</v>
      </c>
      <c r="AP36" s="73">
        <v>1.018</v>
      </c>
      <c r="AQ36" s="73">
        <v>1.018</v>
      </c>
      <c r="AR36" s="73">
        <v>1.0177</v>
      </c>
      <c r="AS36" s="73">
        <v>1.0177</v>
      </c>
      <c r="AT36" s="73">
        <v>1.0173000000000001</v>
      </c>
      <c r="AU36" s="73">
        <v>1.0173000000000001</v>
      </c>
      <c r="AV36" s="73">
        <v>1.0169999999999999</v>
      </c>
      <c r="AW36" s="73">
        <v>1.0169999999999999</v>
      </c>
      <c r="AX36" s="73">
        <v>1.0165999999999999</v>
      </c>
      <c r="AY36" s="73">
        <v>1.0165999999999999</v>
      </c>
      <c r="AZ36" s="73">
        <v>1.0162</v>
      </c>
      <c r="BA36" s="73">
        <v>1.0159</v>
      </c>
      <c r="BB36" s="73">
        <v>1.0157</v>
      </c>
      <c r="BC36" s="73">
        <v>1.0154000000000001</v>
      </c>
      <c r="BD36" s="73">
        <v>1.0150999999999999</v>
      </c>
      <c r="BE36" s="73">
        <v>1.0147999999999999</v>
      </c>
      <c r="BF36" s="73">
        <v>1.0145</v>
      </c>
      <c r="BG36" s="73">
        <v>1.0152000000000001</v>
      </c>
      <c r="BH36" s="73">
        <v>1.0139</v>
      </c>
      <c r="BI36" s="73">
        <v>1.0136000000000001</v>
      </c>
      <c r="BJ36" s="73">
        <v>1.0132000000000001</v>
      </c>
      <c r="BK36" s="73">
        <v>1.0127999999999999</v>
      </c>
      <c r="BL36" s="73">
        <v>1.0124</v>
      </c>
      <c r="BM36" s="73">
        <v>1.012</v>
      </c>
      <c r="BN36" s="73">
        <v>1.0116000000000001</v>
      </c>
      <c r="BO36" s="73">
        <v>1.0111000000000001</v>
      </c>
    </row>
    <row r="37" spans="1:67">
      <c r="A37" s="82">
        <f t="shared" si="1"/>
        <v>3.0000000000000013</v>
      </c>
      <c r="B37" s="73">
        <v>1.0203</v>
      </c>
      <c r="C37" s="73">
        <v>1.0203</v>
      </c>
      <c r="D37" s="73">
        <v>1.0203</v>
      </c>
      <c r="E37" s="73">
        <v>1.0203</v>
      </c>
      <c r="F37" s="73">
        <v>1.0203</v>
      </c>
      <c r="G37" s="73">
        <v>1.0203</v>
      </c>
      <c r="H37" s="73">
        <v>1.0203</v>
      </c>
      <c r="I37" s="73">
        <v>1.0203</v>
      </c>
      <c r="J37" s="73">
        <v>1.0203</v>
      </c>
      <c r="K37" s="73">
        <v>1.0203</v>
      </c>
      <c r="L37" s="73">
        <v>1.0203</v>
      </c>
      <c r="M37" s="73">
        <v>1.0203</v>
      </c>
      <c r="N37" s="73">
        <v>1.0203</v>
      </c>
      <c r="O37" s="73">
        <v>1.0203</v>
      </c>
      <c r="P37" s="73">
        <v>1.0203</v>
      </c>
      <c r="Q37" s="73">
        <v>1.0203</v>
      </c>
      <c r="R37" s="73">
        <v>1.0203</v>
      </c>
      <c r="S37" s="73">
        <v>1.0203</v>
      </c>
      <c r="T37" s="73">
        <v>1.0203</v>
      </c>
      <c r="U37" s="73">
        <v>1.0203</v>
      </c>
      <c r="V37" s="73">
        <v>1.0201</v>
      </c>
      <c r="W37" s="73">
        <v>1.0201</v>
      </c>
      <c r="X37" s="73">
        <v>1.0201</v>
      </c>
      <c r="Y37" s="73">
        <v>1.0201</v>
      </c>
      <c r="Z37" s="73">
        <v>1.0201</v>
      </c>
      <c r="AA37" s="73">
        <v>1.0201</v>
      </c>
      <c r="AB37" s="73">
        <v>1.0201</v>
      </c>
      <c r="AC37" s="73">
        <v>1.0201</v>
      </c>
      <c r="AD37" s="73">
        <v>1.0201</v>
      </c>
      <c r="AE37" s="73">
        <v>1.0201</v>
      </c>
      <c r="AF37" s="73">
        <v>1.0196000000000001</v>
      </c>
      <c r="AG37" s="73">
        <v>1.0196000000000001</v>
      </c>
      <c r="AH37" s="73">
        <v>1.0196000000000001</v>
      </c>
      <c r="AI37" s="73">
        <v>1.0196000000000001</v>
      </c>
      <c r="AJ37" s="73">
        <v>1.0196000000000001</v>
      </c>
      <c r="AK37" s="73">
        <v>1.0192000000000001</v>
      </c>
      <c r="AL37" s="73">
        <v>1.0192000000000001</v>
      </c>
      <c r="AM37" s="73">
        <v>1.0192000000000001</v>
      </c>
      <c r="AN37" s="73">
        <v>1.0192000000000001</v>
      </c>
      <c r="AO37" s="73">
        <v>1.0192000000000001</v>
      </c>
      <c r="AP37" s="73">
        <v>1.0185999999999999</v>
      </c>
      <c r="AQ37" s="73">
        <v>1.0185999999999999</v>
      </c>
      <c r="AR37" s="73">
        <v>1.0183</v>
      </c>
      <c r="AS37" s="73">
        <v>1.0183</v>
      </c>
      <c r="AT37" s="73">
        <v>1.018</v>
      </c>
      <c r="AU37" s="73">
        <v>1.018</v>
      </c>
      <c r="AV37" s="73">
        <v>1.0176000000000001</v>
      </c>
      <c r="AW37" s="73">
        <v>1.0176000000000001</v>
      </c>
      <c r="AX37" s="73">
        <v>1.0172000000000001</v>
      </c>
      <c r="AY37" s="73">
        <v>1.0172000000000001</v>
      </c>
      <c r="AZ37" s="73">
        <v>1.0166999999999999</v>
      </c>
      <c r="BA37" s="73">
        <v>1.0165</v>
      </c>
      <c r="BB37" s="73">
        <v>1.0162</v>
      </c>
      <c r="BC37" s="73">
        <v>1.016</v>
      </c>
      <c r="BD37" s="73">
        <v>1.0157</v>
      </c>
      <c r="BE37" s="73">
        <v>1.0154000000000001</v>
      </c>
      <c r="BF37" s="73">
        <v>1.0149999999999999</v>
      </c>
      <c r="BG37" s="73">
        <v>1.0146999999999999</v>
      </c>
      <c r="BH37" s="73">
        <v>1.0144</v>
      </c>
      <c r="BI37" s="73">
        <v>1.014</v>
      </c>
      <c r="BJ37" s="73">
        <v>1.0137</v>
      </c>
      <c r="BK37" s="73">
        <v>1.0133000000000001</v>
      </c>
      <c r="BL37" s="73">
        <v>1.0128999999999999</v>
      </c>
      <c r="BM37" s="73">
        <v>1.0124</v>
      </c>
      <c r="BN37" s="73">
        <v>1.012</v>
      </c>
      <c r="BO37" s="73">
        <v>1.0116000000000001</v>
      </c>
    </row>
    <row r="38" spans="1:67">
      <c r="A38" s="82">
        <f t="shared" si="1"/>
        <v>3.1000000000000014</v>
      </c>
      <c r="B38" s="73">
        <v>1.0209999999999999</v>
      </c>
      <c r="C38" s="73">
        <v>1.0209999999999999</v>
      </c>
      <c r="D38" s="73">
        <v>1.0209999999999999</v>
      </c>
      <c r="E38" s="73">
        <v>1.0209999999999999</v>
      </c>
      <c r="F38" s="73">
        <v>1.0209999999999999</v>
      </c>
      <c r="G38" s="73">
        <v>1.0209999999999999</v>
      </c>
      <c r="H38" s="73">
        <v>1.0209999999999999</v>
      </c>
      <c r="I38" s="73">
        <v>1.0209999999999999</v>
      </c>
      <c r="J38" s="73">
        <v>1.0209999999999999</v>
      </c>
      <c r="K38" s="73">
        <v>1.0209999999999999</v>
      </c>
      <c r="L38" s="73">
        <v>1.0209999999999999</v>
      </c>
      <c r="M38" s="73">
        <v>1.0209999999999999</v>
      </c>
      <c r="N38" s="73">
        <v>1.0209999999999999</v>
      </c>
      <c r="O38" s="73">
        <v>1.0209999999999999</v>
      </c>
      <c r="P38" s="73">
        <v>1.0209999999999999</v>
      </c>
      <c r="Q38" s="73">
        <v>1.0209999999999999</v>
      </c>
      <c r="R38" s="73">
        <v>1.0209999999999999</v>
      </c>
      <c r="S38" s="73">
        <v>1.0209999999999999</v>
      </c>
      <c r="T38" s="73">
        <v>1.0209999999999999</v>
      </c>
      <c r="U38" s="73">
        <v>1.0209999999999999</v>
      </c>
      <c r="V38" s="73">
        <v>1.0207999999999999</v>
      </c>
      <c r="W38" s="73">
        <v>1.0207999999999999</v>
      </c>
      <c r="X38" s="73">
        <v>1.0207999999999999</v>
      </c>
      <c r="Y38" s="73">
        <v>1.0207999999999999</v>
      </c>
      <c r="Z38" s="73">
        <v>1.0207999999999999</v>
      </c>
      <c r="AA38" s="73">
        <v>1.0207999999999999</v>
      </c>
      <c r="AB38" s="73">
        <v>1.0207999999999999</v>
      </c>
      <c r="AC38" s="73">
        <v>1.0207999999999999</v>
      </c>
      <c r="AD38" s="73">
        <v>1.0207999999999999</v>
      </c>
      <c r="AE38" s="73">
        <v>1.0207999999999999</v>
      </c>
      <c r="AF38" s="73">
        <v>1.0203</v>
      </c>
      <c r="AG38" s="73">
        <v>1.0203</v>
      </c>
      <c r="AH38" s="73">
        <v>1.0203</v>
      </c>
      <c r="AI38" s="73">
        <v>1.0203</v>
      </c>
      <c r="AJ38" s="73">
        <v>1.0203</v>
      </c>
      <c r="AK38" s="73">
        <v>1.0198</v>
      </c>
      <c r="AL38" s="73">
        <v>1.0198</v>
      </c>
      <c r="AM38" s="73">
        <v>1.0198</v>
      </c>
      <c r="AN38" s="73">
        <v>1.0198</v>
      </c>
      <c r="AO38" s="73">
        <v>1.0198</v>
      </c>
      <c r="AP38" s="73">
        <v>1.0192000000000001</v>
      </c>
      <c r="AQ38" s="73">
        <v>1.0192000000000001</v>
      </c>
      <c r="AR38" s="73">
        <v>1.0188999999999999</v>
      </c>
      <c r="AS38" s="73">
        <v>1.0188999999999999</v>
      </c>
      <c r="AT38" s="73">
        <v>1.0185999999999999</v>
      </c>
      <c r="AU38" s="73">
        <v>1.0185999999999999</v>
      </c>
      <c r="AV38" s="73">
        <v>1.0182</v>
      </c>
      <c r="AW38" s="73">
        <v>1.0182</v>
      </c>
      <c r="AX38" s="73">
        <v>1.0176000000000001</v>
      </c>
      <c r="AY38" s="73">
        <v>1.0176000000000001</v>
      </c>
      <c r="AZ38" s="73">
        <v>1.0173000000000001</v>
      </c>
      <c r="BA38" s="73">
        <v>1.0169999999999999</v>
      </c>
      <c r="BB38" s="73">
        <v>1.0167999999999999</v>
      </c>
      <c r="BC38" s="73">
        <v>1.0165</v>
      </c>
      <c r="BD38" s="73">
        <v>1.0162</v>
      </c>
      <c r="BE38" s="73">
        <v>1.0159</v>
      </c>
      <c r="BF38" s="73">
        <v>1.0156000000000001</v>
      </c>
      <c r="BG38" s="73">
        <v>1.0152000000000001</v>
      </c>
      <c r="BH38" s="73">
        <v>1.0148999999999999</v>
      </c>
      <c r="BI38" s="73">
        <v>1.0145</v>
      </c>
      <c r="BJ38" s="73">
        <v>1.0141</v>
      </c>
      <c r="BK38" s="73">
        <v>1.0137</v>
      </c>
      <c r="BL38" s="73">
        <v>1.0133000000000001</v>
      </c>
      <c r="BM38" s="73">
        <v>1.0128999999999999</v>
      </c>
      <c r="BN38" s="73">
        <v>1.0124</v>
      </c>
      <c r="BO38" s="73">
        <v>1.012</v>
      </c>
    </row>
    <row r="39" spans="1:67">
      <c r="A39" s="82">
        <f t="shared" si="1"/>
        <v>3.2000000000000015</v>
      </c>
      <c r="B39" s="73">
        <v>1.0217000000000001</v>
      </c>
      <c r="C39" s="73">
        <v>1.0217000000000001</v>
      </c>
      <c r="D39" s="73">
        <v>1.0217000000000001</v>
      </c>
      <c r="E39" s="73">
        <v>1.0217000000000001</v>
      </c>
      <c r="F39" s="73">
        <v>1.0217000000000001</v>
      </c>
      <c r="G39" s="73">
        <v>1.0217000000000001</v>
      </c>
      <c r="H39" s="73">
        <v>1.0217000000000001</v>
      </c>
      <c r="I39" s="73">
        <v>1.0217000000000001</v>
      </c>
      <c r="J39" s="73">
        <v>1.0217000000000001</v>
      </c>
      <c r="K39" s="73">
        <v>1.0217000000000001</v>
      </c>
      <c r="L39" s="73">
        <v>1.0216000000000001</v>
      </c>
      <c r="M39" s="73">
        <v>1.0216000000000001</v>
      </c>
      <c r="N39" s="73">
        <v>1.0216000000000001</v>
      </c>
      <c r="O39" s="73">
        <v>1.0216000000000001</v>
      </c>
      <c r="P39" s="73">
        <v>1.0216000000000001</v>
      </c>
      <c r="Q39" s="73">
        <v>1.0216000000000001</v>
      </c>
      <c r="R39" s="73">
        <v>1.0216000000000001</v>
      </c>
      <c r="S39" s="73">
        <v>1.0216000000000001</v>
      </c>
      <c r="T39" s="73">
        <v>1.0216000000000001</v>
      </c>
      <c r="U39" s="73">
        <v>1.0216000000000001</v>
      </c>
      <c r="V39" s="73">
        <v>1.0214000000000001</v>
      </c>
      <c r="W39" s="73">
        <v>1.0214000000000001</v>
      </c>
      <c r="X39" s="73">
        <v>1.0214000000000001</v>
      </c>
      <c r="Y39" s="73">
        <v>1.0214000000000001</v>
      </c>
      <c r="Z39" s="73">
        <v>1.0214000000000001</v>
      </c>
      <c r="AA39" s="73">
        <v>1.0214000000000001</v>
      </c>
      <c r="AB39" s="73">
        <v>1.0214000000000001</v>
      </c>
      <c r="AC39" s="73">
        <v>1.0214000000000001</v>
      </c>
      <c r="AD39" s="73">
        <v>1.0214000000000001</v>
      </c>
      <c r="AE39" s="73">
        <v>1.0214000000000001</v>
      </c>
      <c r="AF39" s="73">
        <v>1.0208999999999999</v>
      </c>
      <c r="AG39" s="73">
        <v>1.0208999999999999</v>
      </c>
      <c r="AH39" s="73">
        <v>1.0208999999999999</v>
      </c>
      <c r="AI39" s="73">
        <v>1.0208999999999999</v>
      </c>
      <c r="AJ39" s="73">
        <v>1.0208999999999999</v>
      </c>
      <c r="AK39" s="73">
        <v>1.0205</v>
      </c>
      <c r="AL39" s="73">
        <v>1.0205</v>
      </c>
      <c r="AM39" s="73">
        <v>1.0205</v>
      </c>
      <c r="AN39" s="73">
        <v>1.0205</v>
      </c>
      <c r="AO39" s="73">
        <v>1.0205</v>
      </c>
      <c r="AP39" s="73">
        <v>1.0198</v>
      </c>
      <c r="AQ39" s="73">
        <v>1.0198</v>
      </c>
      <c r="AR39" s="73">
        <v>1.0195000000000001</v>
      </c>
      <c r="AS39" s="73">
        <v>1.0195000000000001</v>
      </c>
      <c r="AT39" s="73">
        <v>1.0192000000000001</v>
      </c>
      <c r="AU39" s="73">
        <v>1.0192000000000001</v>
      </c>
      <c r="AV39" s="73">
        <v>1.0187999999999999</v>
      </c>
      <c r="AW39" s="73">
        <v>1.0187999999999999</v>
      </c>
      <c r="AX39" s="73">
        <v>1.0184</v>
      </c>
      <c r="AY39" s="73">
        <v>1.0184</v>
      </c>
      <c r="AZ39" s="73">
        <v>1.0179</v>
      </c>
      <c r="BA39" s="73">
        <v>1.0176000000000001</v>
      </c>
      <c r="BB39" s="73">
        <v>1.0173000000000001</v>
      </c>
      <c r="BC39" s="73">
        <v>1.0169999999999999</v>
      </c>
      <c r="BD39" s="73">
        <v>1.0166999999999999</v>
      </c>
      <c r="BE39" s="73">
        <v>1.0164</v>
      </c>
      <c r="BF39" s="73">
        <v>1.0150999999999999</v>
      </c>
      <c r="BG39" s="73">
        <v>1.0158</v>
      </c>
      <c r="BH39" s="73">
        <v>1.0154000000000001</v>
      </c>
      <c r="BI39" s="73">
        <v>1.0149999999999999</v>
      </c>
      <c r="BJ39" s="73">
        <v>1.0145999999999999</v>
      </c>
      <c r="BK39" s="73">
        <v>1.0142</v>
      </c>
      <c r="BL39" s="73">
        <v>1.0138</v>
      </c>
      <c r="BM39" s="73">
        <v>1.0133000000000001</v>
      </c>
      <c r="BN39" s="73">
        <v>1.0127999999999999</v>
      </c>
      <c r="BO39" s="73">
        <v>1.0124</v>
      </c>
    </row>
    <row r="40" spans="1:67">
      <c r="A40" s="82">
        <f t="shared" si="1"/>
        <v>3.3000000000000016</v>
      </c>
      <c r="B40" s="73">
        <v>1.0224</v>
      </c>
      <c r="C40" s="73">
        <v>1.0224</v>
      </c>
      <c r="D40" s="73">
        <v>1.0224</v>
      </c>
      <c r="E40" s="73">
        <v>1.0224</v>
      </c>
      <c r="F40" s="73">
        <v>1.0224</v>
      </c>
      <c r="G40" s="73">
        <v>1.0224</v>
      </c>
      <c r="H40" s="73">
        <v>1.0224</v>
      </c>
      <c r="I40" s="73">
        <v>1.0224</v>
      </c>
      <c r="J40" s="73">
        <v>1.0224</v>
      </c>
      <c r="K40" s="73">
        <v>1.0224</v>
      </c>
      <c r="L40" s="73">
        <v>1.0223</v>
      </c>
      <c r="M40" s="73">
        <v>1.0223</v>
      </c>
      <c r="N40" s="73">
        <v>1.0223</v>
      </c>
      <c r="O40" s="73">
        <v>1.0223</v>
      </c>
      <c r="P40" s="73">
        <v>1.0223</v>
      </c>
      <c r="Q40" s="73">
        <v>1.0223</v>
      </c>
      <c r="R40" s="73">
        <v>1.0223</v>
      </c>
      <c r="S40" s="73">
        <v>1.0223</v>
      </c>
      <c r="T40" s="73">
        <v>1.0223</v>
      </c>
      <c r="U40" s="73">
        <v>1.0223</v>
      </c>
      <c r="V40" s="73">
        <v>1.0221</v>
      </c>
      <c r="W40" s="73">
        <v>1.0221</v>
      </c>
      <c r="X40" s="73">
        <v>1.0221</v>
      </c>
      <c r="Y40" s="73">
        <v>1.0221</v>
      </c>
      <c r="Z40" s="73">
        <v>1.0221</v>
      </c>
      <c r="AA40" s="73">
        <v>1.0221</v>
      </c>
      <c r="AB40" s="73">
        <v>1.0221</v>
      </c>
      <c r="AC40" s="73">
        <v>1.0221</v>
      </c>
      <c r="AD40" s="73">
        <v>1.0221</v>
      </c>
      <c r="AE40" s="73">
        <v>1.0221</v>
      </c>
      <c r="AF40" s="73">
        <v>1.0216000000000001</v>
      </c>
      <c r="AG40" s="73">
        <v>1.0216000000000001</v>
      </c>
      <c r="AH40" s="73">
        <v>1.0216000000000001</v>
      </c>
      <c r="AI40" s="73">
        <v>1.0216000000000001</v>
      </c>
      <c r="AJ40" s="73">
        <v>1.0216000000000001</v>
      </c>
      <c r="AK40" s="73">
        <v>1.0210999999999999</v>
      </c>
      <c r="AL40" s="73">
        <v>1.0210999999999999</v>
      </c>
      <c r="AM40" s="73">
        <v>1.0210999999999999</v>
      </c>
      <c r="AN40" s="73">
        <v>1.0210999999999999</v>
      </c>
      <c r="AO40" s="73">
        <v>1.0210999999999999</v>
      </c>
      <c r="AP40" s="73">
        <v>1.0205</v>
      </c>
      <c r="AQ40" s="73">
        <v>1.0205</v>
      </c>
      <c r="AR40" s="73">
        <v>1.0202</v>
      </c>
      <c r="AS40" s="73">
        <v>1.0202</v>
      </c>
      <c r="AT40" s="73">
        <v>1.0198</v>
      </c>
      <c r="AU40" s="73">
        <v>1.0198</v>
      </c>
      <c r="AV40" s="73">
        <v>1.0194000000000001</v>
      </c>
      <c r="AW40" s="73">
        <v>1.0194000000000001</v>
      </c>
      <c r="AX40" s="73">
        <v>1.0188999999999999</v>
      </c>
      <c r="AY40" s="73">
        <v>1.0188999999999999</v>
      </c>
      <c r="AZ40" s="73">
        <v>1.0184</v>
      </c>
      <c r="BA40" s="73">
        <v>1.0182</v>
      </c>
      <c r="BB40" s="73">
        <v>1.0179</v>
      </c>
      <c r="BC40" s="73">
        <v>1.0176000000000001</v>
      </c>
      <c r="BD40" s="73">
        <v>1.0173000000000001</v>
      </c>
      <c r="BE40" s="73">
        <v>1.0169999999999999</v>
      </c>
      <c r="BF40" s="73">
        <v>1.0165999999999999</v>
      </c>
      <c r="BG40" s="73">
        <v>1.0163</v>
      </c>
      <c r="BH40" s="73">
        <v>1.0159</v>
      </c>
      <c r="BI40" s="73">
        <v>1.0155000000000001</v>
      </c>
      <c r="BJ40" s="73">
        <v>1.0150999999999999</v>
      </c>
      <c r="BK40" s="73">
        <v>1.0146999999999999</v>
      </c>
      <c r="BL40" s="73">
        <v>1.0142</v>
      </c>
      <c r="BM40" s="73">
        <v>1.0138</v>
      </c>
      <c r="BN40" s="73">
        <v>1.0133000000000001</v>
      </c>
      <c r="BO40" s="73">
        <v>1.0127999999999999</v>
      </c>
    </row>
    <row r="41" spans="1:67">
      <c r="A41" s="82">
        <f t="shared" si="1"/>
        <v>3.4000000000000017</v>
      </c>
      <c r="B41" s="73">
        <v>1.0229999999999999</v>
      </c>
      <c r="C41" s="73">
        <v>1.0229999999999999</v>
      </c>
      <c r="D41" s="73">
        <v>1.0229999999999999</v>
      </c>
      <c r="E41" s="73">
        <v>1.0229999999999999</v>
      </c>
      <c r="F41" s="73">
        <v>1.0229999999999999</v>
      </c>
      <c r="G41" s="73">
        <v>1.0229999999999999</v>
      </c>
      <c r="H41" s="73">
        <v>1.0229999999999999</v>
      </c>
      <c r="I41" s="73">
        <v>1.0229999999999999</v>
      </c>
      <c r="J41" s="73">
        <v>1.0229999999999999</v>
      </c>
      <c r="K41" s="73">
        <v>1.0229999999999999</v>
      </c>
      <c r="L41" s="73">
        <v>1.0229999999999999</v>
      </c>
      <c r="M41" s="73">
        <v>1.0229999999999999</v>
      </c>
      <c r="N41" s="73">
        <v>1.0229999999999999</v>
      </c>
      <c r="O41" s="73">
        <v>1.0229999999999999</v>
      </c>
      <c r="P41" s="73">
        <v>1.0229999999999999</v>
      </c>
      <c r="Q41" s="73">
        <v>1.0229999999999999</v>
      </c>
      <c r="R41" s="73">
        <v>1.0229999999999999</v>
      </c>
      <c r="S41" s="73">
        <v>1.0229999999999999</v>
      </c>
      <c r="T41" s="73">
        <v>1.0229999999999999</v>
      </c>
      <c r="U41" s="73">
        <v>1.0229999999999999</v>
      </c>
      <c r="V41" s="73">
        <v>1.0227999999999999</v>
      </c>
      <c r="W41" s="73">
        <v>1.0227999999999999</v>
      </c>
      <c r="X41" s="73">
        <v>1.0227999999999999</v>
      </c>
      <c r="Y41" s="73">
        <v>1.0227999999999999</v>
      </c>
      <c r="Z41" s="73">
        <v>1.0227999999999999</v>
      </c>
      <c r="AA41" s="73">
        <v>1.0227999999999999</v>
      </c>
      <c r="AB41" s="73">
        <v>1.0227999999999999</v>
      </c>
      <c r="AC41" s="73">
        <v>1.0227999999999999</v>
      </c>
      <c r="AD41" s="73">
        <v>1.0227999999999999</v>
      </c>
      <c r="AE41" s="73">
        <v>1.0227999999999999</v>
      </c>
      <c r="AF41" s="73">
        <v>1.0223</v>
      </c>
      <c r="AG41" s="73">
        <v>1.0223</v>
      </c>
      <c r="AH41" s="73">
        <v>1.0223</v>
      </c>
      <c r="AI41" s="73">
        <v>1.0223</v>
      </c>
      <c r="AJ41" s="73">
        <v>1.0223</v>
      </c>
      <c r="AK41" s="73">
        <v>1.0218</v>
      </c>
      <c r="AL41" s="73">
        <v>1.0218</v>
      </c>
      <c r="AM41" s="73">
        <v>1.0218</v>
      </c>
      <c r="AN41" s="73">
        <v>1.0218</v>
      </c>
      <c r="AO41" s="73">
        <v>1.0218</v>
      </c>
      <c r="AP41" s="73">
        <v>1.0210999999999999</v>
      </c>
      <c r="AQ41" s="73">
        <v>1.0210999999999999</v>
      </c>
      <c r="AR41" s="73">
        <v>1.0207999999999999</v>
      </c>
      <c r="AS41" s="73">
        <v>1.0207999999999999</v>
      </c>
      <c r="AT41" s="73">
        <v>1.0204</v>
      </c>
      <c r="AU41" s="73">
        <v>1.0204</v>
      </c>
      <c r="AV41" s="73">
        <v>1.02</v>
      </c>
      <c r="AW41" s="73">
        <v>1.02</v>
      </c>
      <c r="AX41" s="73">
        <v>1.0195000000000001</v>
      </c>
      <c r="AY41" s="73">
        <v>1.0195000000000001</v>
      </c>
      <c r="AZ41" s="73">
        <v>1.0189999999999999</v>
      </c>
      <c r="BA41" s="73">
        <v>1.0186999999999999</v>
      </c>
      <c r="BB41" s="73">
        <v>1.0184</v>
      </c>
      <c r="BC41" s="73">
        <v>1.0181</v>
      </c>
      <c r="BD41" s="73">
        <v>1.0178</v>
      </c>
      <c r="BE41" s="73">
        <v>1.0176000000000001</v>
      </c>
      <c r="BF41" s="73">
        <v>1.0170999999999999</v>
      </c>
      <c r="BG41" s="73">
        <v>1.0167999999999999</v>
      </c>
      <c r="BH41" s="73">
        <v>1.0164</v>
      </c>
      <c r="BI41" s="73">
        <v>1.016</v>
      </c>
      <c r="BJ41" s="73">
        <v>1.0156000000000001</v>
      </c>
      <c r="BK41" s="73">
        <v>1.0150999999999999</v>
      </c>
      <c r="BL41" s="73">
        <v>1.0146999999999999</v>
      </c>
      <c r="BM41" s="73">
        <v>1.0142</v>
      </c>
      <c r="BN41" s="73">
        <v>1.1371</v>
      </c>
      <c r="BO41" s="73">
        <v>1.0132000000000001</v>
      </c>
    </row>
    <row r="42" spans="1:67">
      <c r="A42" s="82">
        <f t="shared" si="1"/>
        <v>3.5000000000000018</v>
      </c>
      <c r="B42" s="73">
        <v>1.0237000000000001</v>
      </c>
      <c r="C42" s="73">
        <v>1.0237000000000001</v>
      </c>
      <c r="D42" s="73">
        <v>1.0237000000000001</v>
      </c>
      <c r="E42" s="73">
        <v>1.0237000000000001</v>
      </c>
      <c r="F42" s="73">
        <v>1.0237000000000001</v>
      </c>
      <c r="G42" s="73">
        <v>1.0237000000000001</v>
      </c>
      <c r="H42" s="73">
        <v>1.0237000000000001</v>
      </c>
      <c r="I42" s="73">
        <v>1.0237000000000001</v>
      </c>
      <c r="J42" s="73">
        <v>1.0237000000000001</v>
      </c>
      <c r="K42" s="73">
        <v>1.0237000000000001</v>
      </c>
      <c r="L42" s="73">
        <v>1.0237000000000001</v>
      </c>
      <c r="M42" s="73">
        <v>1.0237000000000001</v>
      </c>
      <c r="N42" s="73">
        <v>1.0237000000000001</v>
      </c>
      <c r="O42" s="73">
        <v>1.0237000000000001</v>
      </c>
      <c r="P42" s="73">
        <v>1.0237000000000001</v>
      </c>
      <c r="Q42" s="73">
        <v>1.0237000000000001</v>
      </c>
      <c r="R42" s="73">
        <v>1.0237000000000001</v>
      </c>
      <c r="S42" s="73">
        <v>1.0237000000000001</v>
      </c>
      <c r="T42" s="73">
        <v>1.0237000000000001</v>
      </c>
      <c r="U42" s="73">
        <v>1.0237000000000001</v>
      </c>
      <c r="V42" s="73">
        <v>1.0235000000000001</v>
      </c>
      <c r="W42" s="73">
        <v>1.0235000000000001</v>
      </c>
      <c r="X42" s="73">
        <v>1.0235000000000001</v>
      </c>
      <c r="Y42" s="73">
        <v>1.0235000000000001</v>
      </c>
      <c r="Z42" s="73">
        <v>1.0235000000000001</v>
      </c>
      <c r="AA42" s="73">
        <v>1.0235000000000001</v>
      </c>
      <c r="AB42" s="73">
        <v>1.0235000000000001</v>
      </c>
      <c r="AC42" s="73">
        <v>1.0235000000000001</v>
      </c>
      <c r="AD42" s="73">
        <v>1.0235000000000001</v>
      </c>
      <c r="AE42" s="73">
        <v>1.0235000000000001</v>
      </c>
      <c r="AF42" s="73">
        <v>1.0228999999999999</v>
      </c>
      <c r="AG42" s="73">
        <v>1.0228999999999999</v>
      </c>
      <c r="AH42" s="73">
        <v>1.0228999999999999</v>
      </c>
      <c r="AI42" s="73">
        <v>1.0228999999999999</v>
      </c>
      <c r="AJ42" s="73">
        <v>1.0228999999999999</v>
      </c>
      <c r="AK42" s="73">
        <v>1.0224</v>
      </c>
      <c r="AL42" s="73">
        <v>1.0224</v>
      </c>
      <c r="AM42" s="73">
        <v>1.0224</v>
      </c>
      <c r="AN42" s="73">
        <v>1.0224</v>
      </c>
      <c r="AO42" s="73">
        <v>1.0224</v>
      </c>
      <c r="AP42" s="73">
        <v>1.0217000000000001</v>
      </c>
      <c r="AQ42" s="73">
        <v>1.0217000000000001</v>
      </c>
      <c r="AR42" s="73">
        <v>1.0214000000000001</v>
      </c>
      <c r="AS42" s="73">
        <v>1.0214000000000001</v>
      </c>
      <c r="AT42" s="73">
        <v>1.0209999999999999</v>
      </c>
      <c r="AU42" s="73">
        <v>1.0209999999999999</v>
      </c>
      <c r="AV42" s="73">
        <v>1.0206</v>
      </c>
      <c r="AW42" s="73">
        <v>1.0206</v>
      </c>
      <c r="AX42" s="73">
        <v>1.0201</v>
      </c>
      <c r="AY42" s="73">
        <v>1.0201</v>
      </c>
      <c r="AZ42" s="73">
        <v>1.0196000000000001</v>
      </c>
      <c r="BA42" s="73">
        <v>1.0193000000000001</v>
      </c>
      <c r="BB42" s="73">
        <v>1.0189999999999999</v>
      </c>
      <c r="BC42" s="73">
        <v>1.0186999999999999</v>
      </c>
      <c r="BD42" s="73">
        <v>1.0184</v>
      </c>
      <c r="BE42" s="73">
        <v>1.018</v>
      </c>
      <c r="BF42" s="73">
        <v>1.0177</v>
      </c>
      <c r="BG42" s="73">
        <v>1.0173000000000001</v>
      </c>
      <c r="BH42" s="73">
        <v>1.0168999999999999</v>
      </c>
      <c r="BI42" s="73">
        <v>1.0165</v>
      </c>
      <c r="BJ42" s="73">
        <v>1.016</v>
      </c>
      <c r="BK42" s="73">
        <v>1.0156000000000001</v>
      </c>
      <c r="BL42" s="73">
        <v>1.0150999999999999</v>
      </c>
      <c r="BM42" s="73">
        <v>1.0145999999999999</v>
      </c>
      <c r="BN42" s="73">
        <v>1.0141</v>
      </c>
      <c r="BO42" s="73">
        <v>1.0136000000000001</v>
      </c>
    </row>
    <row r="43" spans="1:67">
      <c r="A43" s="82">
        <f t="shared" si="1"/>
        <v>3.6000000000000019</v>
      </c>
      <c r="B43" s="73">
        <v>1.0244</v>
      </c>
      <c r="C43" s="73">
        <v>1.0244</v>
      </c>
      <c r="D43" s="73">
        <v>1.0244</v>
      </c>
      <c r="E43" s="73">
        <v>1.0244</v>
      </c>
      <c r="F43" s="73">
        <v>1.0244</v>
      </c>
      <c r="G43" s="73">
        <v>1.0244</v>
      </c>
      <c r="H43" s="73">
        <v>1.0244</v>
      </c>
      <c r="I43" s="73">
        <v>1.0244</v>
      </c>
      <c r="J43" s="73">
        <v>1.0244</v>
      </c>
      <c r="K43" s="73">
        <v>1.0244</v>
      </c>
      <c r="L43" s="73">
        <v>1.0244</v>
      </c>
      <c r="M43" s="73">
        <v>1.0244</v>
      </c>
      <c r="N43" s="73">
        <v>1.0244</v>
      </c>
      <c r="O43" s="73">
        <v>1.0244</v>
      </c>
      <c r="P43" s="73">
        <v>1.0244</v>
      </c>
      <c r="Q43" s="73">
        <v>1.0244</v>
      </c>
      <c r="R43" s="73">
        <v>1.0244</v>
      </c>
      <c r="S43" s="73">
        <v>1.0244</v>
      </c>
      <c r="T43" s="73">
        <v>1.0244</v>
      </c>
      <c r="U43" s="73">
        <v>1.0244</v>
      </c>
      <c r="V43" s="73">
        <v>1.0242</v>
      </c>
      <c r="W43" s="73">
        <v>1.0242</v>
      </c>
      <c r="X43" s="73">
        <v>1.0242</v>
      </c>
      <c r="Y43" s="73">
        <v>1.0242</v>
      </c>
      <c r="Z43" s="73">
        <v>1.0242</v>
      </c>
      <c r="AA43" s="73">
        <v>1.0242</v>
      </c>
      <c r="AB43" s="73">
        <v>1.0242</v>
      </c>
      <c r="AC43" s="73">
        <v>1.0242</v>
      </c>
      <c r="AD43" s="73">
        <v>1.0242</v>
      </c>
      <c r="AE43" s="73">
        <v>1.0242</v>
      </c>
      <c r="AF43" s="73">
        <v>1.0236000000000001</v>
      </c>
      <c r="AG43" s="73">
        <v>1.0236000000000001</v>
      </c>
      <c r="AH43" s="73">
        <v>1.0236000000000001</v>
      </c>
      <c r="AI43" s="73">
        <v>1.0236000000000001</v>
      </c>
      <c r="AJ43" s="73">
        <v>1.0236000000000001</v>
      </c>
      <c r="AK43" s="73">
        <v>1.0230999999999999</v>
      </c>
      <c r="AL43" s="73">
        <v>1.0230999999999999</v>
      </c>
      <c r="AM43" s="73">
        <v>1.0230999999999999</v>
      </c>
      <c r="AN43" s="73">
        <v>1.0230999999999999</v>
      </c>
      <c r="AO43" s="73">
        <v>1.0230999999999999</v>
      </c>
      <c r="AP43" s="73">
        <v>1.0224</v>
      </c>
      <c r="AQ43" s="73">
        <v>1.0224</v>
      </c>
      <c r="AR43" s="73">
        <v>1.022</v>
      </c>
      <c r="AS43" s="73">
        <v>1.022</v>
      </c>
      <c r="AT43" s="73">
        <v>1.0216000000000001</v>
      </c>
      <c r="AU43" s="73">
        <v>1.0216000000000001</v>
      </c>
      <c r="AV43" s="73">
        <v>1.0212000000000001</v>
      </c>
      <c r="AW43" s="73">
        <v>1.0212000000000001</v>
      </c>
      <c r="AX43" s="73">
        <v>1.0206999999999999</v>
      </c>
      <c r="AY43" s="73">
        <v>1.0206999999999999</v>
      </c>
      <c r="AZ43" s="73">
        <v>1.0202</v>
      </c>
      <c r="BA43" s="73">
        <v>1.0199</v>
      </c>
      <c r="BB43" s="73">
        <v>1.0196000000000001</v>
      </c>
      <c r="BC43" s="73">
        <v>1.0192000000000001</v>
      </c>
      <c r="BD43" s="73">
        <v>1.0188999999999999</v>
      </c>
      <c r="BE43" s="73">
        <v>1.0185999999999999</v>
      </c>
      <c r="BF43" s="73">
        <v>1.0182</v>
      </c>
      <c r="BG43" s="73">
        <v>1.0178</v>
      </c>
      <c r="BH43" s="73">
        <v>1.0174000000000001</v>
      </c>
      <c r="BI43" s="73">
        <v>1.0169999999999999</v>
      </c>
      <c r="BJ43" s="73">
        <v>1.0165</v>
      </c>
      <c r="BK43" s="73">
        <v>1.0161</v>
      </c>
      <c r="BL43" s="73">
        <v>1.0156000000000001</v>
      </c>
      <c r="BM43" s="73">
        <v>1.0150999999999999</v>
      </c>
      <c r="BN43" s="73">
        <v>1.0145999999999999</v>
      </c>
      <c r="BO43" s="73">
        <v>1.014</v>
      </c>
    </row>
    <row r="44" spans="1:67">
      <c r="A44" s="82">
        <f t="shared" si="1"/>
        <v>3.700000000000002</v>
      </c>
      <c r="B44" s="73">
        <v>1.0250999999999999</v>
      </c>
      <c r="C44" s="73">
        <v>1.0250999999999999</v>
      </c>
      <c r="D44" s="73">
        <v>1.0250999999999999</v>
      </c>
      <c r="E44" s="73">
        <v>1.0250999999999999</v>
      </c>
      <c r="F44" s="73">
        <v>1.0250999999999999</v>
      </c>
      <c r="G44" s="73">
        <v>1.0250999999999999</v>
      </c>
      <c r="H44" s="73">
        <v>1.0250999999999999</v>
      </c>
      <c r="I44" s="73">
        <v>1.0250999999999999</v>
      </c>
      <c r="J44" s="73">
        <v>1.0250999999999999</v>
      </c>
      <c r="K44" s="73">
        <v>1.0250999999999999</v>
      </c>
      <c r="L44" s="73">
        <v>1.0250999999999999</v>
      </c>
      <c r="M44" s="73">
        <v>1.0250999999999999</v>
      </c>
      <c r="N44" s="73">
        <v>1.0250999999999999</v>
      </c>
      <c r="O44" s="73">
        <v>1.0250999999999999</v>
      </c>
      <c r="P44" s="73">
        <v>1.0250999999999999</v>
      </c>
      <c r="Q44" s="73">
        <v>1.0250999999999999</v>
      </c>
      <c r="R44" s="73">
        <v>1.0250999999999999</v>
      </c>
      <c r="S44" s="73">
        <v>1.0250999999999999</v>
      </c>
      <c r="T44" s="73">
        <v>1.0250999999999999</v>
      </c>
      <c r="U44" s="73">
        <v>1.0250999999999999</v>
      </c>
      <c r="V44" s="73">
        <v>1.0247999999999999</v>
      </c>
      <c r="W44" s="73">
        <v>1.0247999999999999</v>
      </c>
      <c r="X44" s="73">
        <v>1.0247999999999999</v>
      </c>
      <c r="Y44" s="73">
        <v>1.0247999999999999</v>
      </c>
      <c r="Z44" s="73">
        <v>1.0247999999999999</v>
      </c>
      <c r="AA44" s="73">
        <v>1.0247999999999999</v>
      </c>
      <c r="AB44" s="73">
        <v>1.0247999999999999</v>
      </c>
      <c r="AC44" s="73">
        <v>1.0247999999999999</v>
      </c>
      <c r="AD44" s="73">
        <v>1.0247999999999999</v>
      </c>
      <c r="AE44" s="73">
        <v>1.0247999999999999</v>
      </c>
      <c r="AF44" s="73">
        <v>1.0243</v>
      </c>
      <c r="AG44" s="73">
        <v>1.0243</v>
      </c>
      <c r="AH44" s="73">
        <v>1.0243</v>
      </c>
      <c r="AI44" s="73">
        <v>1.0243</v>
      </c>
      <c r="AJ44" s="73">
        <v>1.0243</v>
      </c>
      <c r="AK44" s="73">
        <v>1.0237000000000001</v>
      </c>
      <c r="AL44" s="73">
        <v>1.0237000000000001</v>
      </c>
      <c r="AM44" s="73">
        <v>1.0237000000000001</v>
      </c>
      <c r="AN44" s="73">
        <v>1.0237000000000001</v>
      </c>
      <c r="AO44" s="73">
        <v>1.0237000000000001</v>
      </c>
      <c r="AP44" s="73">
        <v>1.0229999999999999</v>
      </c>
      <c r="AQ44" s="73">
        <v>1.0229999999999999</v>
      </c>
      <c r="AR44" s="73">
        <v>1.0226</v>
      </c>
      <c r="AS44" s="73">
        <v>1.0226</v>
      </c>
      <c r="AT44" s="73">
        <v>1.0222</v>
      </c>
      <c r="AU44" s="73">
        <v>1.0222</v>
      </c>
      <c r="AV44" s="73">
        <v>1.0218</v>
      </c>
      <c r="AW44" s="73">
        <v>1.0218</v>
      </c>
      <c r="AX44" s="73">
        <v>1.0213000000000001</v>
      </c>
      <c r="AY44" s="73">
        <v>1.0213000000000001</v>
      </c>
      <c r="AZ44" s="73">
        <v>1.0206999999999999</v>
      </c>
      <c r="BA44" s="73">
        <v>1.0204</v>
      </c>
      <c r="BB44" s="73">
        <v>1.0201</v>
      </c>
      <c r="BC44" s="73">
        <v>1.0198</v>
      </c>
      <c r="BD44" s="73">
        <v>1.0195000000000001</v>
      </c>
      <c r="BE44" s="73">
        <v>1.0190999999999999</v>
      </c>
      <c r="BF44" s="73">
        <v>1.0186999999999999</v>
      </c>
      <c r="BG44" s="73">
        <v>1.0183</v>
      </c>
      <c r="BH44" s="73">
        <v>1.0179</v>
      </c>
      <c r="BI44" s="73">
        <v>1.0175000000000001</v>
      </c>
      <c r="BJ44" s="73">
        <v>1.0169999999999999</v>
      </c>
      <c r="BK44" s="73">
        <v>1.0165</v>
      </c>
      <c r="BL44" s="73">
        <v>1.016</v>
      </c>
      <c r="BM44" s="73">
        <v>1.0155000000000001</v>
      </c>
      <c r="BN44" s="73">
        <v>1.0149999999999999</v>
      </c>
      <c r="BO44" s="73">
        <v>1.0144</v>
      </c>
    </row>
    <row r="45" spans="1:67">
      <c r="A45" s="82">
        <f t="shared" si="1"/>
        <v>3.800000000000002</v>
      </c>
      <c r="B45" s="73">
        <v>1.0258</v>
      </c>
      <c r="C45" s="73">
        <v>1.0258</v>
      </c>
      <c r="D45" s="73">
        <v>1.0258</v>
      </c>
      <c r="E45" s="73">
        <v>1.0258</v>
      </c>
      <c r="F45" s="73">
        <v>1.0258</v>
      </c>
      <c r="G45" s="73">
        <v>1.0258</v>
      </c>
      <c r="H45" s="73">
        <v>1.0258</v>
      </c>
      <c r="I45" s="73">
        <v>1.0258</v>
      </c>
      <c r="J45" s="73">
        <v>1.0258</v>
      </c>
      <c r="K45" s="73">
        <v>1.0258</v>
      </c>
      <c r="L45" s="73">
        <v>1.0258</v>
      </c>
      <c r="M45" s="73">
        <v>1.0258</v>
      </c>
      <c r="N45" s="73">
        <v>1.0258</v>
      </c>
      <c r="O45" s="73">
        <v>1.0258</v>
      </c>
      <c r="P45" s="73">
        <v>1.0258</v>
      </c>
      <c r="Q45" s="73">
        <v>1.0258</v>
      </c>
      <c r="R45" s="73">
        <v>1.0258</v>
      </c>
      <c r="S45" s="73">
        <v>1.0258</v>
      </c>
      <c r="T45" s="73">
        <v>1.0258</v>
      </c>
      <c r="U45" s="73">
        <v>1.0258</v>
      </c>
      <c r="V45" s="73">
        <v>1.0255000000000001</v>
      </c>
      <c r="W45" s="73">
        <v>1.0255000000000001</v>
      </c>
      <c r="X45" s="73">
        <v>1.0255000000000001</v>
      </c>
      <c r="Y45" s="73">
        <v>1.0255000000000001</v>
      </c>
      <c r="Z45" s="73">
        <v>1.0255000000000001</v>
      </c>
      <c r="AA45" s="73">
        <v>1.0255000000000001</v>
      </c>
      <c r="AB45" s="73">
        <v>1.0255000000000001</v>
      </c>
      <c r="AC45" s="73">
        <v>1.0255000000000001</v>
      </c>
      <c r="AD45" s="73">
        <v>1.0255000000000001</v>
      </c>
      <c r="AE45" s="73">
        <v>1.0255000000000001</v>
      </c>
      <c r="AF45" s="73">
        <v>1.0248999999999999</v>
      </c>
      <c r="AG45" s="73">
        <v>1.0248999999999999</v>
      </c>
      <c r="AH45" s="73">
        <v>1.0248999999999999</v>
      </c>
      <c r="AI45" s="73">
        <v>1.0248999999999999</v>
      </c>
      <c r="AJ45" s="73">
        <v>1.0248999999999999</v>
      </c>
      <c r="AK45" s="73">
        <v>1.0244</v>
      </c>
      <c r="AL45" s="73">
        <v>1.0244</v>
      </c>
      <c r="AM45" s="73">
        <v>1.0244</v>
      </c>
      <c r="AN45" s="73">
        <v>1.0244</v>
      </c>
      <c r="AO45" s="73">
        <v>1.0244</v>
      </c>
      <c r="AP45" s="73">
        <v>1.0236000000000001</v>
      </c>
      <c r="AQ45" s="73">
        <v>1.0236000000000001</v>
      </c>
      <c r="AR45" s="73">
        <v>1.0233000000000001</v>
      </c>
      <c r="AS45" s="73">
        <v>1.0233000000000001</v>
      </c>
      <c r="AT45" s="73">
        <v>1.0228999999999999</v>
      </c>
      <c r="AU45" s="73">
        <v>1.0228999999999999</v>
      </c>
      <c r="AV45" s="73">
        <v>1.0224</v>
      </c>
      <c r="AW45" s="73">
        <v>1.0224</v>
      </c>
      <c r="AX45" s="73">
        <v>1.0219</v>
      </c>
      <c r="AY45" s="73">
        <v>1.0219</v>
      </c>
      <c r="AZ45" s="73">
        <v>1.0213000000000001</v>
      </c>
      <c r="BA45" s="73">
        <v>1.0209999999999999</v>
      </c>
      <c r="BB45" s="73">
        <v>1.0206999999999999</v>
      </c>
      <c r="BC45" s="73">
        <v>1.0204</v>
      </c>
      <c r="BD45" s="73">
        <v>1.02</v>
      </c>
      <c r="BE45" s="73">
        <v>1.0196000000000001</v>
      </c>
      <c r="BF45" s="73">
        <v>1.0192000000000001</v>
      </c>
      <c r="BG45" s="73">
        <v>1.0187999999999999</v>
      </c>
      <c r="BH45" s="73">
        <v>1.0184</v>
      </c>
      <c r="BI45" s="73">
        <v>1.018</v>
      </c>
      <c r="BJ45" s="73">
        <v>1.0175000000000001</v>
      </c>
      <c r="BK45" s="73">
        <v>1.0169999999999999</v>
      </c>
      <c r="BL45" s="73">
        <v>1.0165</v>
      </c>
      <c r="BM45" s="73">
        <v>1.016</v>
      </c>
      <c r="BN45" s="73">
        <v>1.0154000000000001</v>
      </c>
      <c r="BO45" s="73">
        <v>1.0147999999999999</v>
      </c>
    </row>
    <row r="46" spans="1:67">
      <c r="A46" s="82">
        <f t="shared" si="1"/>
        <v>3.9000000000000021</v>
      </c>
      <c r="B46" s="73">
        <v>1.0265</v>
      </c>
      <c r="C46" s="73">
        <v>1.0265</v>
      </c>
      <c r="D46" s="73">
        <v>1.0265</v>
      </c>
      <c r="E46" s="73">
        <v>1.0265</v>
      </c>
      <c r="F46" s="73">
        <v>1.0265</v>
      </c>
      <c r="G46" s="73">
        <v>1.0265</v>
      </c>
      <c r="H46" s="73">
        <v>1.0265</v>
      </c>
      <c r="I46" s="73">
        <v>1.0265</v>
      </c>
      <c r="J46" s="73">
        <v>1.0265</v>
      </c>
      <c r="K46" s="73">
        <v>1.0265</v>
      </c>
      <c r="L46" s="73">
        <v>1.0265</v>
      </c>
      <c r="M46" s="73">
        <v>1.0265</v>
      </c>
      <c r="N46" s="73">
        <v>1.0265</v>
      </c>
      <c r="O46" s="73">
        <v>1.0265</v>
      </c>
      <c r="P46" s="73">
        <v>1.0265</v>
      </c>
      <c r="Q46" s="73">
        <v>1.0265</v>
      </c>
      <c r="R46" s="73">
        <v>1.0265</v>
      </c>
      <c r="S46" s="73">
        <v>1.0265</v>
      </c>
      <c r="T46" s="73">
        <v>1.0265</v>
      </c>
      <c r="U46" s="73">
        <v>1.0265</v>
      </c>
      <c r="V46" s="73">
        <v>1.0251999999999999</v>
      </c>
      <c r="W46" s="73">
        <v>1.0251999999999999</v>
      </c>
      <c r="X46" s="73">
        <v>1.0251999999999999</v>
      </c>
      <c r="Y46" s="73">
        <v>1.0251999999999999</v>
      </c>
      <c r="Z46" s="73">
        <v>1.0251999999999999</v>
      </c>
      <c r="AA46" s="73">
        <v>1.0251999999999999</v>
      </c>
      <c r="AB46" s="73">
        <v>1.0251999999999999</v>
      </c>
      <c r="AC46" s="73">
        <v>1.0251999999999999</v>
      </c>
      <c r="AD46" s="73">
        <v>1.0251999999999999</v>
      </c>
      <c r="AE46" s="73">
        <v>1.0251999999999999</v>
      </c>
      <c r="AF46" s="73">
        <v>1.0256000000000001</v>
      </c>
      <c r="AG46" s="73">
        <v>1.0256000000000001</v>
      </c>
      <c r="AH46" s="73">
        <v>1.0256000000000001</v>
      </c>
      <c r="AI46" s="73">
        <v>1.0256000000000001</v>
      </c>
      <c r="AJ46" s="73">
        <v>1.0256000000000001</v>
      </c>
      <c r="AK46" s="73">
        <v>1.0249999999999999</v>
      </c>
      <c r="AL46" s="73">
        <v>1.0249999999999999</v>
      </c>
      <c r="AM46" s="73">
        <v>1.0249999999999999</v>
      </c>
      <c r="AN46" s="73">
        <v>1.0249999999999999</v>
      </c>
      <c r="AO46" s="73">
        <v>1.0249999999999999</v>
      </c>
      <c r="AP46" s="73">
        <v>1.0243</v>
      </c>
      <c r="AQ46" s="73">
        <v>1.0243</v>
      </c>
      <c r="AR46" s="73">
        <v>1.0239</v>
      </c>
      <c r="AS46" s="73">
        <v>1.0239</v>
      </c>
      <c r="AT46" s="73">
        <v>1.0235000000000001</v>
      </c>
      <c r="AU46" s="73">
        <v>1.0235000000000001</v>
      </c>
      <c r="AV46" s="73">
        <v>1.0229999999999999</v>
      </c>
      <c r="AW46" s="73">
        <v>1.0229999999999999</v>
      </c>
      <c r="AX46" s="73">
        <v>1.0225</v>
      </c>
      <c r="AY46" s="73">
        <v>1.0225</v>
      </c>
      <c r="AZ46" s="73">
        <v>1.0219</v>
      </c>
      <c r="BA46" s="73">
        <v>1.0216000000000001</v>
      </c>
      <c r="BB46" s="73">
        <v>1.0213000000000001</v>
      </c>
      <c r="BC46" s="73">
        <v>1.0208999999999999</v>
      </c>
      <c r="BD46" s="73">
        <v>1.0206</v>
      </c>
      <c r="BE46" s="73">
        <v>1.0202</v>
      </c>
      <c r="BF46" s="73">
        <v>1.0198</v>
      </c>
      <c r="BG46" s="73">
        <v>1.0194000000000001</v>
      </c>
      <c r="BH46" s="73">
        <v>1.0188999999999999</v>
      </c>
      <c r="BI46" s="73">
        <v>1.0185</v>
      </c>
      <c r="BJ46" s="73">
        <v>1.018</v>
      </c>
      <c r="BK46" s="73">
        <v>1.0175000000000001</v>
      </c>
      <c r="BL46" s="73">
        <v>1.0169999999999999</v>
      </c>
      <c r="BM46" s="73">
        <v>1.0164</v>
      </c>
      <c r="BN46" s="73">
        <v>1.0159</v>
      </c>
      <c r="BO46" s="73">
        <v>1.0153000000000001</v>
      </c>
    </row>
    <row r="47" spans="1:67">
      <c r="A47" s="82">
        <f>A46+0.1</f>
        <v>4.0000000000000018</v>
      </c>
      <c r="B47" s="73">
        <v>1.0271999999999999</v>
      </c>
      <c r="C47" s="73">
        <v>1.0271999999999999</v>
      </c>
      <c r="D47" s="73">
        <v>1.0271999999999999</v>
      </c>
      <c r="E47" s="73">
        <v>1.0271999999999999</v>
      </c>
      <c r="F47" s="73">
        <v>1.0271999999999999</v>
      </c>
      <c r="G47" s="73">
        <v>1.0271999999999999</v>
      </c>
      <c r="H47" s="73">
        <v>1.0271999999999999</v>
      </c>
      <c r="I47" s="73">
        <v>1.0271999999999999</v>
      </c>
      <c r="J47" s="73">
        <v>1.0271999999999999</v>
      </c>
      <c r="K47" s="73">
        <v>1.0271999999999999</v>
      </c>
      <c r="L47" s="73">
        <v>1.0270999999999999</v>
      </c>
      <c r="M47" s="73">
        <v>1.0270999999999999</v>
      </c>
      <c r="N47" s="73">
        <v>1.0270999999999999</v>
      </c>
      <c r="O47" s="73">
        <v>1.0270999999999999</v>
      </c>
      <c r="P47" s="73">
        <v>1.0270999999999999</v>
      </c>
      <c r="Q47" s="73">
        <v>1.0270999999999999</v>
      </c>
      <c r="R47" s="73">
        <v>1.0270999999999999</v>
      </c>
      <c r="S47" s="73">
        <v>1.0270999999999999</v>
      </c>
      <c r="T47" s="73">
        <v>1.0270999999999999</v>
      </c>
      <c r="U47" s="73">
        <v>1.0270999999999999</v>
      </c>
      <c r="V47" s="73">
        <v>1.0268999999999999</v>
      </c>
      <c r="W47" s="73">
        <v>1.0268999999999999</v>
      </c>
      <c r="X47" s="73">
        <v>1.0268999999999999</v>
      </c>
      <c r="Y47" s="73">
        <v>1.0268999999999999</v>
      </c>
      <c r="Z47" s="73">
        <v>1.0268999999999999</v>
      </c>
      <c r="AA47" s="73">
        <v>1.0268999999999999</v>
      </c>
      <c r="AB47" s="73">
        <v>1.0268999999999999</v>
      </c>
      <c r="AC47" s="73">
        <v>1.0268999999999999</v>
      </c>
      <c r="AD47" s="73">
        <v>1.0268999999999999</v>
      </c>
      <c r="AE47" s="73">
        <v>1.0268999999999999</v>
      </c>
      <c r="AF47" s="73">
        <v>1.0263</v>
      </c>
      <c r="AG47" s="73">
        <v>1.0263</v>
      </c>
      <c r="AH47" s="73">
        <v>1.0263</v>
      </c>
      <c r="AI47" s="73">
        <v>1.0263</v>
      </c>
      <c r="AJ47" s="73">
        <v>1.0263</v>
      </c>
      <c r="AK47" s="73">
        <v>1.0257000000000001</v>
      </c>
      <c r="AL47" s="73">
        <v>1.0257000000000001</v>
      </c>
      <c r="AM47" s="73">
        <v>1.0257000000000001</v>
      </c>
      <c r="AN47" s="73">
        <v>1.0257000000000001</v>
      </c>
      <c r="AO47" s="73">
        <v>1.0257000000000001</v>
      </c>
      <c r="AP47" s="73">
        <v>1.0248999999999999</v>
      </c>
      <c r="AQ47" s="73">
        <v>1.0248999999999999</v>
      </c>
      <c r="AR47" s="73">
        <v>1.0245</v>
      </c>
      <c r="AS47" s="73">
        <v>1.0245</v>
      </c>
      <c r="AT47" s="73">
        <v>1.0241</v>
      </c>
      <c r="AU47" s="73">
        <v>1.0241</v>
      </c>
      <c r="AV47" s="73">
        <v>1.0236000000000001</v>
      </c>
      <c r="AW47" s="73">
        <v>1.0236000000000001</v>
      </c>
      <c r="AX47" s="73">
        <v>1.0230999999999999</v>
      </c>
      <c r="AY47" s="73">
        <v>1.0230999999999999</v>
      </c>
      <c r="AZ47" s="73">
        <v>1.0225</v>
      </c>
      <c r="BA47" s="73">
        <v>1.0222</v>
      </c>
      <c r="BB47" s="73">
        <v>1.0218</v>
      </c>
      <c r="BC47" s="73">
        <v>1.0215000000000001</v>
      </c>
      <c r="BD47" s="73">
        <v>1.0210999999999999</v>
      </c>
      <c r="BE47" s="73">
        <v>1.0206999999999999</v>
      </c>
      <c r="BF47" s="73">
        <v>1.0203</v>
      </c>
      <c r="BG47" s="73">
        <v>1.0199</v>
      </c>
      <c r="BH47" s="73">
        <v>1.0194000000000001</v>
      </c>
      <c r="BI47" s="73">
        <v>1.0189999999999999</v>
      </c>
      <c r="BJ47" s="73">
        <v>1.0185</v>
      </c>
      <c r="BK47" s="73">
        <v>1.018</v>
      </c>
      <c r="BL47" s="73">
        <v>1.0174000000000001</v>
      </c>
      <c r="BM47" s="73">
        <v>1.0168999999999999</v>
      </c>
      <c r="BN47" s="73">
        <v>1.0163</v>
      </c>
      <c r="BO47" s="73">
        <v>1.0157</v>
      </c>
    </row>
  </sheetData>
  <mergeCells count="1">
    <mergeCell ref="B5:BO5"/>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2"/>
  <dimension ref="A1:K92"/>
  <sheetViews>
    <sheetView workbookViewId="0">
      <selection activeCell="E12" sqref="E12"/>
    </sheetView>
  </sheetViews>
  <sheetFormatPr defaultRowHeight="12.75"/>
  <cols>
    <col min="1" max="3" width="9.140625" style="15"/>
    <col min="4" max="4" width="7.42578125" style="15" customWidth="1"/>
    <col min="5" max="5" width="9.85546875" style="15" customWidth="1"/>
    <col min="6" max="7" width="9.140625" style="15"/>
    <col min="8" max="8" width="10.28515625" style="15" customWidth="1"/>
    <col min="9" max="16384" width="9.140625" style="15"/>
  </cols>
  <sheetData>
    <row r="1" spans="1:10" ht="12.75" customHeight="1">
      <c r="A1" s="120" t="s">
        <v>110</v>
      </c>
      <c r="B1" s="121"/>
      <c r="C1" s="121"/>
      <c r="D1" s="121"/>
      <c r="E1" s="121"/>
      <c r="F1" s="121"/>
      <c r="G1" s="121"/>
      <c r="H1" s="121"/>
      <c r="I1" s="121"/>
      <c r="J1" s="122"/>
    </row>
    <row r="2" spans="1:10" ht="27.75" customHeight="1" thickBot="1">
      <c r="A2" s="123"/>
      <c r="B2" s="124"/>
      <c r="C2" s="124"/>
      <c r="D2" s="124"/>
      <c r="E2" s="124"/>
      <c r="F2" s="124"/>
      <c r="G2" s="124"/>
      <c r="H2" s="124"/>
      <c r="I2" s="124"/>
      <c r="J2" s="125"/>
    </row>
    <row r="3" spans="1:10" ht="12.75" customHeight="1">
      <c r="A3" s="126" t="s">
        <v>114</v>
      </c>
      <c r="B3" s="127"/>
      <c r="C3" s="127"/>
      <c r="D3" s="127"/>
      <c r="E3" s="127"/>
      <c r="F3" s="127"/>
      <c r="G3" s="127"/>
      <c r="H3" s="127"/>
      <c r="I3" s="127"/>
      <c r="J3" s="128"/>
    </row>
    <row r="4" spans="1:10" ht="20.25" customHeight="1">
      <c r="A4" s="129"/>
      <c r="B4" s="130"/>
      <c r="C4" s="130"/>
      <c r="D4" s="130"/>
      <c r="E4" s="130"/>
      <c r="F4" s="130"/>
      <c r="G4" s="130"/>
      <c r="H4" s="130"/>
      <c r="I4" s="130"/>
      <c r="J4" s="131"/>
    </row>
    <row r="5" spans="1:10" ht="20.25" customHeight="1" thickBot="1">
      <c r="A5" s="132"/>
      <c r="B5" s="133"/>
      <c r="C5" s="133"/>
      <c r="D5" s="133"/>
      <c r="E5" s="133"/>
      <c r="F5" s="133"/>
      <c r="G5" s="133"/>
      <c r="H5" s="133"/>
      <c r="I5" s="133"/>
      <c r="J5" s="134"/>
    </row>
    <row r="6" spans="1:10" ht="13.5" thickBot="1">
      <c r="I6" s="47" t="s">
        <v>182</v>
      </c>
    </row>
    <row r="7" spans="1:10" ht="13.5" thickBot="1">
      <c r="A7" s="135" t="s">
        <v>111</v>
      </c>
      <c r="B7" s="136"/>
      <c r="C7" s="136"/>
      <c r="D7" s="136"/>
      <c r="E7" s="136"/>
      <c r="F7" s="136"/>
      <c r="G7" s="137"/>
    </row>
    <row r="8" spans="1:10" ht="13.5" thickBot="1"/>
    <row r="9" spans="1:10" ht="13.5" thickBot="1">
      <c r="A9" s="33" t="s">
        <v>112</v>
      </c>
      <c r="B9" s="34"/>
      <c r="C9" s="34"/>
      <c r="D9" s="34"/>
      <c r="E9" s="34"/>
      <c r="F9" s="34"/>
      <c r="G9" s="35"/>
      <c r="H9" s="138" t="s">
        <v>104</v>
      </c>
      <c r="I9" s="139"/>
    </row>
    <row r="10" spans="1:10" ht="13.5" thickBot="1"/>
    <row r="11" spans="1:10" ht="13.5" thickBot="1">
      <c r="A11" s="140" t="s">
        <v>113</v>
      </c>
      <c r="B11" s="141"/>
      <c r="C11" s="142"/>
      <c r="D11" s="46">
        <f>'Orifice Calculator'!BT27</f>
        <v>16.797305410120003</v>
      </c>
      <c r="E11" s="32" t="s">
        <v>235</v>
      </c>
    </row>
    <row r="12" spans="1:10" ht="13.5" thickBot="1"/>
    <row r="13" spans="1:10" ht="15.75" thickBot="1">
      <c r="A13" s="143" t="s">
        <v>115</v>
      </c>
      <c r="B13" s="144"/>
      <c r="C13" s="144"/>
      <c r="D13" s="145"/>
      <c r="E13" s="70">
        <f>'Orifice Calculator'!BT43</f>
        <v>659.47382821886674</v>
      </c>
      <c r="F13" s="36" t="s">
        <v>116</v>
      </c>
    </row>
    <row r="15" spans="1:10" ht="13.5" thickBot="1"/>
    <row r="16" spans="1:10" ht="12.75" customHeight="1">
      <c r="A16" s="115" t="s">
        <v>121</v>
      </c>
      <c r="B16" s="146"/>
      <c r="C16" s="146"/>
      <c r="D16" s="146"/>
      <c r="E16" s="146"/>
      <c r="F16" s="146"/>
      <c r="G16" s="146"/>
      <c r="H16" s="146"/>
      <c r="I16" s="146"/>
      <c r="J16" s="116"/>
    </row>
    <row r="17" spans="1:10" ht="13.5" thickBot="1">
      <c r="A17" s="117"/>
      <c r="B17" s="147"/>
      <c r="C17" s="147"/>
      <c r="D17" s="147"/>
      <c r="E17" s="147"/>
      <c r="F17" s="147"/>
      <c r="G17" s="147"/>
      <c r="H17" s="147"/>
      <c r="I17" s="147"/>
      <c r="J17" s="118"/>
    </row>
    <row r="18" spans="1:10" ht="13.5" thickBot="1"/>
    <row r="19" spans="1:10" ht="12.75" customHeight="1">
      <c r="A19" s="115" t="s">
        <v>117</v>
      </c>
      <c r="B19" s="116"/>
      <c r="E19" s="115" t="s">
        <v>118</v>
      </c>
      <c r="F19" s="116"/>
      <c r="I19" s="115" t="s">
        <v>119</v>
      </c>
      <c r="J19" s="116"/>
    </row>
    <row r="20" spans="1:10">
      <c r="A20" s="148"/>
      <c r="B20" s="149"/>
      <c r="E20" s="148"/>
      <c r="F20" s="149"/>
      <c r="I20" s="148"/>
      <c r="J20" s="149"/>
    </row>
    <row r="21" spans="1:10">
      <c r="A21" s="37" t="s">
        <v>14</v>
      </c>
      <c r="B21" s="37" t="s">
        <v>120</v>
      </c>
      <c r="E21" s="37" t="s">
        <v>14</v>
      </c>
      <c r="F21" s="37" t="s">
        <v>120</v>
      </c>
      <c r="I21" s="37" t="s">
        <v>14</v>
      </c>
      <c r="J21" s="37" t="s">
        <v>120</v>
      </c>
    </row>
    <row r="22" spans="1:10">
      <c r="A22" s="37">
        <v>150</v>
      </c>
      <c r="B22" s="39">
        <f xml:space="preserve"> 0.000002*($E$13/50)^3 - 0.00006*($E$13/50)^2 - 0.0026*($E$13/50) + 1.0027</f>
        <v>0.96255856655803684</v>
      </c>
      <c r="E22" s="37">
        <v>150</v>
      </c>
      <c r="F22" s="38">
        <f xml:space="preserve"> -0.000003*($E$13/50)^3 + 0.0002*($E$13/50)^2 - 0.0063*($E$13/50) + 1.0073</f>
        <v>0.95211534133094444</v>
      </c>
      <c r="I22" s="37">
        <v>150</v>
      </c>
      <c r="J22" s="38">
        <f xml:space="preserve"> -0.000002*($E$13/50)^3 + 0.0001*($E$13/50)^2 - 0.0069*($E$13/50) + 1.0058</f>
        <v>0.92759989776206886</v>
      </c>
    </row>
    <row r="23" spans="1:10">
      <c r="A23" s="37">
        <f>A22-5</f>
        <v>145</v>
      </c>
      <c r="B23" s="39">
        <f xml:space="preserve"> 0.000002*($E$13/50)^3 - 0.00006*($E$13/50)^2 - 0.0028*($E$13/50) + 1.0029</f>
        <v>0.96012067124516132</v>
      </c>
      <c r="E23" s="37">
        <f>E22-5</f>
        <v>145</v>
      </c>
      <c r="F23" s="38">
        <f xml:space="preserve"> -0.000003*($E$13/50)^3 + 0.0001*($E$13/50)^2 - 0.0064*($E$13/50) + 1.0071</f>
        <v>0.93320016447028087</v>
      </c>
      <c r="I23" s="37">
        <f>I22-5</f>
        <v>145</v>
      </c>
      <c r="J23" s="38">
        <f xml:space="preserve"> -0.000002*($E$13/50)^3 + 0.0001*($E$13/50)^2 - 0.0071*($E$13/50) + 1.0056</f>
        <v>0.92476200244919338</v>
      </c>
    </row>
    <row r="24" spans="1:10">
      <c r="A24" s="37">
        <f t="shared" ref="A24:A52" si="0">A23-5</f>
        <v>140</v>
      </c>
      <c r="B24" s="39">
        <f xml:space="preserve"> 0.000002*($E$13/50)^3 - 0.00005*($E$13/50)^2 - 0.0031*($E$13/50) + 1.003</f>
        <v>0.95800345119627073</v>
      </c>
      <c r="E24" s="37">
        <f t="shared" ref="E24:E52" si="1">E23-5</f>
        <v>140</v>
      </c>
      <c r="F24" s="38">
        <f xml:space="preserve"> -0.000003*($E$13/50)^3 + 0.0001*($E$13/50)^2 - 0.0064*($E$13/50) + 1.0068</f>
        <v>0.93290016447028068</v>
      </c>
      <c r="I24" s="37">
        <f t="shared" ref="I24:I52" si="2">I23-5</f>
        <v>140</v>
      </c>
      <c r="J24" s="38">
        <f xml:space="preserve"> -0.000002*($E$13/50)^3 + 0.0001*($E$13/50)^2 - 0.0073*($E$13/50) + 1.0055</f>
        <v>0.92202410713631799</v>
      </c>
    </row>
    <row r="25" spans="1:10">
      <c r="A25" s="37">
        <f t="shared" si="0"/>
        <v>135</v>
      </c>
      <c r="B25" s="39">
        <f xml:space="preserve"> 0.000002*($E$13/50)^3 - 0.00005*($E$13/50)^2 - 0.0033*($E$13/50) + 1.0032</f>
        <v>0.95556555588339542</v>
      </c>
      <c r="E25" s="37">
        <f t="shared" si="1"/>
        <v>135</v>
      </c>
      <c r="F25" s="38">
        <f xml:space="preserve"> -0.000003*($E$13/50)^3 + 0.0001*($E$13/50)^2 - 0.0064*($E$13/50) + 1.0065</f>
        <v>0.93260016447028071</v>
      </c>
      <c r="I25" s="37">
        <f t="shared" si="2"/>
        <v>135</v>
      </c>
      <c r="J25" s="38">
        <f xml:space="preserve"> -0.000002*($E$13/50)^3 + 0.0001*($E$13/50)^2 - 0.0074*($E$13/50) + 1.0053</f>
        <v>0.92050515947988021</v>
      </c>
    </row>
    <row r="26" spans="1:10">
      <c r="A26" s="37">
        <f t="shared" si="0"/>
        <v>130</v>
      </c>
      <c r="B26" s="39">
        <f xml:space="preserve"> 0.000002*($E$13/50)^3 - 0.00004*($E$13/50)^2 - 0.0035*($E$13/50) + 1.0034</f>
        <v>0.95486728349094252</v>
      </c>
      <c r="E26" s="37">
        <f t="shared" si="1"/>
        <v>130</v>
      </c>
      <c r="F26" s="38">
        <f xml:space="preserve"> -0.000003*($E$13/50)^3 + 0.0001*($E$13/50)^2 - 0.0065*($E$13/50) + 1.0063</f>
        <v>0.93108121681384293</v>
      </c>
      <c r="I26" s="37">
        <f t="shared" si="2"/>
        <v>130</v>
      </c>
      <c r="J26" s="38">
        <f xml:space="preserve"> -0.000002*($E$13/50)^3 + 0.00009*($E$13/50)^2 - 0.0076*($E$13/50) + 1.0052</f>
        <v>0.9160276412465822</v>
      </c>
    </row>
    <row r="27" spans="1:10">
      <c r="A27" s="37">
        <f t="shared" si="0"/>
        <v>125</v>
      </c>
      <c r="B27" s="39">
        <f xml:space="preserve"> 0.000001*($E$13/50)^3 - 0.00004*($E$13/50)^2 - 0.0037*($E$13/50) + 1.0035</f>
        <v>0.95003491660409034</v>
      </c>
      <c r="E27" s="37">
        <f t="shared" si="1"/>
        <v>125</v>
      </c>
      <c r="F27" s="38">
        <f xml:space="preserve"> -0.000002*($E$13/50)^3 + 0.0001*($E$13/50)^2 - 0.0065*($E$13/50) + 1.006</f>
        <v>0.93307568838781973</v>
      </c>
      <c r="I27" s="37">
        <f t="shared" si="2"/>
        <v>125</v>
      </c>
      <c r="J27" s="38">
        <f xml:space="preserve"> -0.000001*($E$13/50)^3 + 0.00009*($E$13/50)^2 - 0.0078*($E$13/50) + 1.005</f>
        <v>0.91548421750768327</v>
      </c>
    </row>
    <row r="28" spans="1:10">
      <c r="A28" s="37">
        <f t="shared" si="0"/>
        <v>120</v>
      </c>
      <c r="B28" s="39">
        <f xml:space="preserve"> 0.000001*($E$13/50)^3 - 0.00003*($E$13/50)^2 - 0.004*($E$13/50) + 1.0037</f>
        <v>0.94801769655519963</v>
      </c>
      <c r="E28" s="37">
        <f t="shared" si="1"/>
        <v>120</v>
      </c>
      <c r="F28" s="38">
        <f xml:space="preserve"> -0.000002*($E$13/50)^3 + 0.00009*($E$13/50)^2 - 0.0065*($E$13/50) + 1.0058</f>
        <v>0.93113606546739713</v>
      </c>
      <c r="I28" s="37">
        <f t="shared" si="2"/>
        <v>120</v>
      </c>
      <c r="J28" s="38">
        <f xml:space="preserve"> -0.000001*($E$13/50)^3 + 0.00009*($E$13/50)^2 - 0.0079*($E$13/50) + 1.0049</f>
        <v>0.91406526985124548</v>
      </c>
    </row>
    <row r="29" spans="1:10">
      <c r="A29" s="37">
        <f t="shared" si="0"/>
        <v>115</v>
      </c>
      <c r="B29" s="39">
        <f xml:space="preserve"> 0.000001*($E$13/50)^3 - 0.00002*($E$13/50)^2 - 0.0042*($E$13/50) + 1.0039</f>
        <v>0.94731942416274673</v>
      </c>
      <c r="E29" s="37">
        <f t="shared" si="1"/>
        <v>115</v>
      </c>
      <c r="F29" s="38">
        <f xml:space="preserve"> -0.000002*($E$13/50)^3 + 0.00008*($E$13/50)^2 - 0.0066*($E$13/50) + 1.0055</f>
        <v>0.92777749489053685</v>
      </c>
      <c r="I29" s="37">
        <f t="shared" si="2"/>
        <v>115</v>
      </c>
      <c r="J29" s="38">
        <f xml:space="preserve"> -0.000001*($E$13/50)^3 + 0.00008*($E$13/50)^2 - 0.0081*($E$13/50) + 1.0047</f>
        <v>0.90948775161794748</v>
      </c>
    </row>
    <row r="30" spans="1:10">
      <c r="A30" s="37">
        <f t="shared" si="0"/>
        <v>110</v>
      </c>
      <c r="B30" s="39">
        <f xml:space="preserve"> 0.000001*($E$13/50)^3 - 0.00002*($E$13/50)^2 - 0.0044*($E$13/50) + 1.004</f>
        <v>0.94478152884987132</v>
      </c>
      <c r="E30" s="37">
        <f t="shared" si="1"/>
        <v>110</v>
      </c>
      <c r="F30" s="38">
        <f xml:space="preserve"> -0.000002*($E$13/50)^3 + 0.00007*($E$13/50)^2 - 0.0066*($E$13/50) + 1.0052</f>
        <v>0.92573787197011437</v>
      </c>
      <c r="I30" s="37">
        <f t="shared" si="2"/>
        <v>110</v>
      </c>
      <c r="J30" s="38">
        <f xml:space="preserve"> -0.000001*($E$13/50)^3 + 0.00008*($E$13/50)^2 - 0.0083*($E$13/50) + 1.0046</f>
        <v>0.90674985630507199</v>
      </c>
    </row>
    <row r="31" spans="1:10">
      <c r="A31" s="37">
        <f t="shared" si="0"/>
        <v>105</v>
      </c>
      <c r="B31" s="39">
        <f xml:space="preserve"> 0.0000009*($E$13/50)^3 - 0.00001*($E$13/50)^2 - 0.0046*($E$13/50) + 1.0042</f>
        <v>0.94385380930002072</v>
      </c>
      <c r="E31" s="37">
        <f t="shared" si="1"/>
        <v>105</v>
      </c>
      <c r="F31" s="38">
        <f xml:space="preserve"> -0.000001*($E$13/50)^3 + 0.00006*($E$13/50)^2 - 0.0067*($E$13/50) + 1.005</f>
        <v>0.92477377296723051</v>
      </c>
      <c r="I31" s="37">
        <f t="shared" si="2"/>
        <v>105</v>
      </c>
      <c r="J31" s="38">
        <f xml:space="preserve"> -0.000001*($E$13/50)^3 + 0.00007*($E$13/50)^2 - 0.0084*($E$13/50) + 1.0045</f>
        <v>0.90359128572821168</v>
      </c>
    </row>
    <row r="32" spans="1:10">
      <c r="A32" s="37">
        <f t="shared" si="0"/>
        <v>100</v>
      </c>
      <c r="B32" s="39">
        <f xml:space="preserve"> 0.0000008*($E$13/50)^3 - 0.000009*($E$13/50)^2 - 0.0049*($E$13/50) + 1.0043</f>
        <v>0.93994148146535206</v>
      </c>
      <c r="E32" s="37">
        <f t="shared" si="1"/>
        <v>100</v>
      </c>
      <c r="F32" s="38">
        <f xml:space="preserve"> -0.000001*($E$13/50)^3 + 0.00005*($E$13/50)^2 - 0.0067*($E$13/50) + 1.0047</f>
        <v>0.92273415004680803</v>
      </c>
      <c r="I32" s="37">
        <f t="shared" si="2"/>
        <v>100</v>
      </c>
      <c r="J32" s="38">
        <f xml:space="preserve"> -0.000001*($E$13/50)^3 + 0.00007*($E$13/50)^2 - 0.0086*($E$13/50) + 1.0043</f>
        <v>0.90075339041533631</v>
      </c>
    </row>
    <row r="33" spans="1:10">
      <c r="A33" s="37">
        <f t="shared" si="0"/>
        <v>95</v>
      </c>
      <c r="B33" s="39">
        <f xml:space="preserve"> 0.0000009*($E$13/50)^3 - 0.000009*($E$13/50)^2 - 0.0051*($E$13/50) + 1.0045</f>
        <v>0.93773303330987423</v>
      </c>
      <c r="E33" s="37">
        <f t="shared" si="1"/>
        <v>95</v>
      </c>
      <c r="F33" s="38">
        <f xml:space="preserve"> -0.0000005*($E$13/50)^3 + 0.00002*($E$13/50)^2 - 0.0067*($E$13/50) + 1.0045</f>
        <v>0.91846251707252857</v>
      </c>
      <c r="I33" s="37">
        <f t="shared" si="2"/>
        <v>95</v>
      </c>
      <c r="J33" s="38">
        <f xml:space="preserve"> -0.0000006*($E$13/50)^3 + 0.00005*($E$13/50)^2 - 0.0087*($E$13/50) + 1.0045</f>
        <v>0.89707298554764403</v>
      </c>
    </row>
    <row r="34" spans="1:10">
      <c r="A34" s="37">
        <f t="shared" si="0"/>
        <v>90</v>
      </c>
      <c r="B34" s="39">
        <f xml:space="preserve"> 0.0000009*($E$13/50)^3 - 0.00001*($E$13/50)^2 - 0.0053*($E$13/50) + 1.0046</f>
        <v>0.93502117570495658</v>
      </c>
      <c r="E34" s="37">
        <f t="shared" si="1"/>
        <v>90</v>
      </c>
      <c r="F34" s="38">
        <f xml:space="preserve"> -0.00000002*($E$13/50)^3 + 0.000003*($E$13/50)^2 - 0.0067*($E$13/50) + 1.0043</f>
        <v>0.91640650446331906</v>
      </c>
      <c r="I34" s="37">
        <f t="shared" si="2"/>
        <v>90</v>
      </c>
      <c r="J34" s="38">
        <f xml:space="preserve"> -0.0000003*($E$13/50)^3 + 0.00003*($E$13/50)^2 - 0.0088*($E$13/50) + 1.0046</f>
        <v>0.89306313352255406</v>
      </c>
    </row>
    <row r="35" spans="1:10">
      <c r="A35" s="37">
        <f t="shared" si="0"/>
        <v>85</v>
      </c>
      <c r="B35" s="39">
        <f xml:space="preserve"> 0.000001*($E$13/50)^3 - 0.00001*($E$13/50)^2 - 0.0055*($E$13/50) + 1.0047</f>
        <v>0.93271272754947876</v>
      </c>
      <c r="E35" s="37">
        <f t="shared" si="1"/>
        <v>85</v>
      </c>
      <c r="F35" s="38">
        <f xml:space="preserve"> 0.0000005*($E$13/50)^3 - 0.00002*($E$13/50)^2 - 0.0067*($E$13/50) + 1.0041</f>
        <v>0.91339849696481501</v>
      </c>
      <c r="I35" s="37">
        <f t="shared" si="2"/>
        <v>85</v>
      </c>
      <c r="J35" s="38">
        <f xml:space="preserve"> -0.000000005*($E$13/50)^3 + 0.00002*($E$13/50)^2 - 0.0089*($E$13/50) + 1.0048</f>
        <v>0.89088143206001691</v>
      </c>
    </row>
    <row r="36" spans="1:10">
      <c r="A36" s="37">
        <f t="shared" si="0"/>
        <v>80</v>
      </c>
      <c r="B36" s="39">
        <f xml:space="preserve"> 0.000001*($E$13/50)^3 - 0.00001*($E$13/50)^2 - 0.0057*($E$13/50) + 1.0049</f>
        <v>0.93027483223660323</v>
      </c>
      <c r="E36" s="37">
        <f t="shared" si="1"/>
        <v>80</v>
      </c>
      <c r="F36" s="38">
        <f xml:space="preserve"> 0.000001*($E$13/50)^3 - 0.00004*($E$13/50)^2 - 0.0067*($E$13/50) + 1.0039</f>
        <v>0.91086648691095828</v>
      </c>
      <c r="I36" s="37">
        <f t="shared" si="2"/>
        <v>80</v>
      </c>
      <c r="J36" s="38">
        <f xml:space="preserve"> 0.0000003*($E$13/50)^3 + 0.000002*($E$13/50)^2 - 0.009*($E$13/50) + 1.005</f>
        <v>0.88733097697688146</v>
      </c>
    </row>
    <row r="37" spans="1:10">
      <c r="A37" s="37">
        <f t="shared" si="0"/>
        <v>75</v>
      </c>
      <c r="B37" s="39">
        <f xml:space="preserve"> 0.000001*($E$13/50)^3 - 0.00001*($E$13/50)^2 - 0.0059*($E$13/50) + 1.005</f>
        <v>0.92773693692372783</v>
      </c>
      <c r="E37" s="37">
        <f t="shared" si="1"/>
        <v>75</v>
      </c>
      <c r="F37" s="38">
        <f xml:space="preserve"> 0.000002*($E$13/50)^3 - 0.00006*($E$13/50)^2 - 0.0068*($E$13/50) + 1.0037</f>
        <v>0.90816276498765214</v>
      </c>
      <c r="I37" s="37">
        <f t="shared" si="2"/>
        <v>75</v>
      </c>
      <c r="J37" s="38">
        <f xml:space="preserve"> 0.0000006*($E$13/50)^3 - 0.00001*($E$13/50)^2 - 0.0091*($E$13/50) + 1.0051</f>
        <v>0.88471282328812983</v>
      </c>
    </row>
    <row r="38" spans="1:10">
      <c r="A38" s="37">
        <f t="shared" si="0"/>
        <v>70</v>
      </c>
      <c r="B38" s="39">
        <f xml:space="preserve"> 0.000001*($E$13/50)^3 - 0.00002*($E$13/50)^2 - 0.006*($E$13/50) + 1.0054</f>
        <v>0.92507836634686758</v>
      </c>
      <c r="E38" s="37">
        <f t="shared" si="1"/>
        <v>70</v>
      </c>
      <c r="F38" s="38">
        <f xml:space="preserve"> 0.000002*($E$13/50)^3 - 0.00006*($E$13/50)^2 - 0.007*($E$13/50) + 1.0036</f>
        <v>0.90542486967477664</v>
      </c>
      <c r="I38" s="37">
        <f t="shared" si="2"/>
        <v>70</v>
      </c>
      <c r="J38" s="38">
        <f xml:space="preserve"> 0.0000009*($E$13/50)^3 - 0.00003*($E$13/50)^2 - 0.0091*($E$13/50) + 1.005</f>
        <v>0.88182191891947748</v>
      </c>
    </row>
    <row r="39" spans="1:10">
      <c r="A39" s="37">
        <f t="shared" si="0"/>
        <v>65</v>
      </c>
      <c r="B39" s="39">
        <f xml:space="preserve"> 0.000002*($E$13/50)^3 - 0.00003*($E$13/50)^2 - 0.0062*($E$13/50) + 1.0058</f>
        <v>0.92339531968754629</v>
      </c>
      <c r="E39" s="37">
        <f t="shared" si="1"/>
        <v>65</v>
      </c>
      <c r="F39" s="38">
        <f xml:space="preserve"> 0.000002*($E$13/50)^3 - 0.00006*($E$13/50)^2 - 0.0073*($E$13/50) + 1.0034</f>
        <v>0.90126802670546347</v>
      </c>
      <c r="I39" s="37">
        <f t="shared" si="2"/>
        <v>65</v>
      </c>
      <c r="J39" s="38">
        <f xml:space="preserve"> 0.000001*($E$13/50)^3 - 0.00005*($E$13/50)^2 - 0.0091*($E$13/50) + 1.0049</f>
        <v>0.87847212023602994</v>
      </c>
    </row>
    <row r="40" spans="1:10">
      <c r="A40" s="37">
        <f t="shared" si="0"/>
        <v>60</v>
      </c>
      <c r="B40" s="39">
        <f xml:space="preserve"> 0.000002*($E$13/50)^3 - 0.00004*($E$13/50)^2 - 0.0064*($E$13/50) + 1.0062</f>
        <v>0.91941780145424812</v>
      </c>
      <c r="E40" s="37">
        <f t="shared" si="1"/>
        <v>60</v>
      </c>
      <c r="F40" s="38">
        <f xml:space="preserve"> 0.000002*($E$13/50)^3 - 0.00006*($E$13/50)^2 - 0.0076*($E$13/50) + 1.0032</f>
        <v>0.89711118373615029</v>
      </c>
      <c r="I40" s="37">
        <f t="shared" si="2"/>
        <v>60</v>
      </c>
      <c r="J40" s="38">
        <f xml:space="preserve"> 0.000002*($E$13/50)^3 - 0.00007*($E$13/50)^2 - 0.0091*($E$13/50) + 1.0047</f>
        <v>0.87708734596916149</v>
      </c>
    </row>
    <row r="41" spans="1:10">
      <c r="A41" s="37">
        <f t="shared" si="0"/>
        <v>55</v>
      </c>
      <c r="B41" s="39">
        <f xml:space="preserve"> 0.000002*($E$13/50)^3 - 0.00005*($E$13/50)^2 - 0.0066*($E$13/50) + 1.0066</f>
        <v>0.91544028322095006</v>
      </c>
      <c r="E41" s="37">
        <f t="shared" si="1"/>
        <v>55</v>
      </c>
      <c r="F41" s="38">
        <f xml:space="preserve"> 0.000002*($E$13/50)^3 - 0.00006*($E$13/50)^2 - 0.0079*($E$13/50) + 1.003</f>
        <v>0.89295434076683688</v>
      </c>
      <c r="I41" s="37">
        <f t="shared" si="2"/>
        <v>55</v>
      </c>
      <c r="J41" s="38">
        <f xml:space="preserve"> 0.000002*($E$13/50)^3 - 0.00008*($E$13/50)^2 - 0.0092*($E$13/50) + 1.0046</f>
        <v>0.87392877539230118</v>
      </c>
    </row>
    <row r="42" spans="1:10">
      <c r="A42" s="37">
        <f>A41-5</f>
        <v>50</v>
      </c>
      <c r="B42" s="39">
        <f xml:space="preserve"> 0.000002*($E$13/50)^3 - 0.00006*($E$13/50)^2 - 0.0068*($E$13/50) + 1.0071</f>
        <v>0.91156276498765221</v>
      </c>
      <c r="E42" s="37">
        <f>E41-5</f>
        <v>50</v>
      </c>
      <c r="F42" s="38">
        <f xml:space="preserve"> 0.000002*($E$13/50)^3 - 0.00006*($E$13/50)^2 - 0.0081*($E$13/50) + 1.0029</f>
        <v>0.89021644545396139</v>
      </c>
      <c r="I42" s="37">
        <f>I41-5</f>
        <v>50</v>
      </c>
      <c r="J42" s="38">
        <f xml:space="preserve"> 0.000002*($E$13/50)^3 - 0.0001*($E$13/50)^2 - 0.0092*($E$13/50) + 1.0045</f>
        <v>0.87034952955145606</v>
      </c>
    </row>
    <row r="43" spans="1:10">
      <c r="A43" s="37">
        <f t="shared" si="0"/>
        <v>45</v>
      </c>
      <c r="B43" s="39">
        <f xml:space="preserve"> 0.000003*($E$13/50)^3 - 0.00006*($E$13/50)^2 - 0.0069*($E$13/50) + 1.0073</f>
        <v>0.91273828890519115</v>
      </c>
      <c r="E43" s="37">
        <f t="shared" si="1"/>
        <v>45</v>
      </c>
      <c r="F43" s="38">
        <f xml:space="preserve"> 0.000002*($E$13/50)^3 - 0.00008*($E$13/50)^2 - 0.0083*($E$13/50) + 1.003</f>
        <v>0.88419930430024074</v>
      </c>
      <c r="I43" s="37">
        <f t="shared" si="2"/>
        <v>45</v>
      </c>
      <c r="J43" s="38">
        <f xml:space="preserve"> 0.000002*($E$13/50)^3 - 0.00008*($E$13/50)^2 - 0.01*($E$13/50) + 1.0052</f>
        <v>0.86397719414079943</v>
      </c>
    </row>
    <row r="44" spans="1:10">
      <c r="A44" s="37">
        <f t="shared" si="0"/>
        <v>40</v>
      </c>
      <c r="B44" s="39">
        <f xml:space="preserve"> 0.000003*($E$13/50)^3 - 0.00007*($E$13/50)^2 - 0.0071*($E$13/50) + 1.0074</f>
        <v>0.90846077067189313</v>
      </c>
      <c r="E44" s="37">
        <f t="shared" si="1"/>
        <v>40</v>
      </c>
      <c r="F44" s="38">
        <f xml:space="preserve"> 0.000002*($E$13/50)^3 - 0.00009*($E$13/50)^2 - 0.0084*($E$13/50) + 1.0031</f>
        <v>0.88124073372338063</v>
      </c>
      <c r="I44" s="37">
        <f t="shared" si="2"/>
        <v>40</v>
      </c>
      <c r="J44" s="38">
        <f xml:space="preserve"> 0.000001*($E$13/50)^3 - 0.00006*($E$13/50)^2 - 0.0109*($E$13/50) + 1.0059</f>
        <v>0.85399143949972833</v>
      </c>
    </row>
    <row r="45" spans="1:10">
      <c r="A45" s="37">
        <f t="shared" si="0"/>
        <v>35</v>
      </c>
      <c r="B45" s="39">
        <f xml:space="preserve"> 0.000003*($E$13/50)^3 - 0.00008*($E$13/50)^2 - 0.0072*($E$13/50) + 1.0076</f>
        <v>0.90560220009503278</v>
      </c>
      <c r="E45" s="37">
        <f t="shared" si="1"/>
        <v>35</v>
      </c>
      <c r="F45" s="38">
        <f xml:space="preserve"> 0.000003*($E$13/50)^3 - 0.0001*($E$13/50)^2 - 0.0085*($E$13/50) + 1.0031</f>
        <v>0.88047663472049709</v>
      </c>
      <c r="I45" s="37">
        <f t="shared" si="2"/>
        <v>35</v>
      </c>
      <c r="J45" s="38">
        <f xml:space="preserve"> 0.000001*($E$13/50)^3 - 0.00003*($E$13/50)^2 - 0.0117*($E$13/50) + 1.0066</f>
        <v>0.84935872700949411</v>
      </c>
    </row>
    <row r="46" spans="1:10">
      <c r="A46" s="37">
        <f t="shared" si="0"/>
        <v>30</v>
      </c>
      <c r="B46" s="39">
        <f xml:space="preserve"> 0.000003*($E$13/50)^3 - 0.00009*($E$13/50)^2 - 0.0073*($E$13/50) + 1.0078</f>
        <v>0.90274362951817244</v>
      </c>
      <c r="E46" s="37">
        <f t="shared" si="1"/>
        <v>30</v>
      </c>
      <c r="F46" s="38">
        <f xml:space="preserve"> 0.000003*($E$13/50)^3 - 0.0001*($E$13/50)^2 - 0.0087*($E$13/50) + 1.0032</f>
        <v>0.87793873940762157</v>
      </c>
      <c r="I46" s="37">
        <f t="shared" si="2"/>
        <v>30</v>
      </c>
      <c r="J46" s="38">
        <f xml:space="preserve"> 0.0000007*($E$13/50)^3 - 0.00001*($E$13/50)^2 - 0.0125*($E$13/50) + 1.0073</f>
        <v>0.84229805012664449</v>
      </c>
    </row>
    <row r="47" spans="1:10">
      <c r="A47" s="37">
        <f t="shared" si="0"/>
        <v>25</v>
      </c>
      <c r="B47" s="39">
        <f xml:space="preserve"> 0.000003*($E$13/50)^3 - 0.0001*($E$13/50)^2 - 0.0075*($E$13/50) + 1.008</f>
        <v>0.89856611128487429</v>
      </c>
      <c r="E47" s="37">
        <f t="shared" si="1"/>
        <v>25</v>
      </c>
      <c r="F47" s="38">
        <f xml:space="preserve"> 0.000003*($E$13/50)^3 - 0.0001*($E$13/50)^2 - 0.0088*($E$13/50) + 1.0033</f>
        <v>0.87671979175118386</v>
      </c>
      <c r="I47" s="37">
        <f t="shared" si="2"/>
        <v>25</v>
      </c>
      <c r="J47" s="38">
        <f xml:space="preserve"> 0.0000003*($E$13/50)^3 + 0.00001*($E$13/50)^2 - 0.0134*($E$13/50) + 1.008</f>
        <v>0.83368897842995926</v>
      </c>
    </row>
    <row r="48" spans="1:10">
      <c r="A48" s="37">
        <f>A47-5</f>
        <v>20</v>
      </c>
      <c r="B48" s="39">
        <f xml:space="preserve"> 0.000003*($E$13/50)^3 - 0.00007*($E$13/50)^2 - 0.0082*($E$13/50) + 1.0091</f>
        <v>0.89565234645107805</v>
      </c>
      <c r="E48" s="37">
        <f>E47-5</f>
        <v>20</v>
      </c>
      <c r="F48" s="38">
        <f xml:space="preserve"> 0.000003*($E$13/50)^3 - 0.0001*($E$13/50)^2 - 0.0095*($E$13/50) + 1.0041</f>
        <v>0.86828715815611957</v>
      </c>
      <c r="I48" s="37">
        <f>I47-5</f>
        <v>20</v>
      </c>
      <c r="J48" s="38">
        <f xml:space="preserve"> -0.0000009*($E$13/50)^3 + 0.00004*($E$13/50)^2 - 0.0145*($E$13/50) + 1.0082</f>
        <v>0.82184605708163994</v>
      </c>
    </row>
    <row r="49" spans="1:10">
      <c r="A49" s="37">
        <f t="shared" si="0"/>
        <v>15</v>
      </c>
      <c r="B49" s="39">
        <f xml:space="preserve"> 0.000002*($E$13/50)^3 - 0.00005*($E$13/50)^2 - 0.0088*($E$13/50) + 1.0102</f>
        <v>0.89002343477932</v>
      </c>
      <c r="E49" s="37">
        <f t="shared" si="1"/>
        <v>15</v>
      </c>
      <c r="F49" s="38">
        <f xml:space="preserve"> 0.000003*($E$13/50)^3 - 0.0001*($E$13/50)^2 - 0.0102*($E$13/50) + 1.0048</f>
        <v>0.85975452456105539</v>
      </c>
      <c r="I49" s="37">
        <f t="shared" si="2"/>
        <v>15</v>
      </c>
      <c r="J49" s="38">
        <f xml:space="preserve"> -0.000002*($E$13/50)^3 + 0.00008*($E$13/50)^2 - 0.0157*($E$13/50) + 1.0084</f>
        <v>0.81065325815470302</v>
      </c>
    </row>
    <row r="50" spans="1:10">
      <c r="A50" s="37">
        <f t="shared" si="0"/>
        <v>10</v>
      </c>
      <c r="B50" s="39">
        <f xml:space="preserve"> 0.000001*($E$13/50)^3 - 0.00002*($E$13/50)^2 - 0.0095*($E$13/50) + 1.0113</f>
        <v>0.88481519837154698</v>
      </c>
      <c r="E50" s="37">
        <f t="shared" si="1"/>
        <v>10</v>
      </c>
      <c r="F50" s="38">
        <f xml:space="preserve"> 0.000002*($E$13/50)^3 - 0.0001*($E$13/50)^2 - 0.011*($E$13/50) + 1.0056</f>
        <v>0.84770847173557695</v>
      </c>
      <c r="I50" s="37">
        <f t="shared" si="2"/>
        <v>10</v>
      </c>
      <c r="J50" s="38">
        <f xml:space="preserve"> -0.000003*($E$13/50)^3 + 0.0001*($E$13/50)^2 - 0.0168*($E$13/50) + 1.0086</f>
        <v>0.79752960820075636</v>
      </c>
    </row>
    <row r="51" spans="1:10">
      <c r="A51" s="37">
        <f t="shared" si="0"/>
        <v>5</v>
      </c>
      <c r="B51" s="39">
        <f xml:space="preserve"> 0.0000008*($E$13/50)^3 + 0.000006*($E$13/50)^2 - 0.0102*($E$13/50) + 1.0124</f>
        <v>0.88074669005478612</v>
      </c>
      <c r="E51" s="37">
        <f t="shared" si="1"/>
        <v>5</v>
      </c>
      <c r="F51" s="38">
        <f xml:space="preserve"> 0.000002*($E$13/50)^3 - 0.00008*($E$13/50)^2 - 0.0117*($E$13/50) + 1.0063</f>
        <v>0.84265508398135791</v>
      </c>
      <c r="I51" s="37">
        <f t="shared" si="2"/>
        <v>5</v>
      </c>
      <c r="J51" s="38">
        <f xml:space="preserve"> -0.000005*($E$13/50)^3 + 0.0001*($E$13/50)^2 - 0.018*($E$13/50) + 1.0087</f>
        <v>0.7772132931755501</v>
      </c>
    </row>
    <row r="52" spans="1:10">
      <c r="A52" s="37">
        <f t="shared" si="0"/>
        <v>0</v>
      </c>
      <c r="B52" s="39">
        <f xml:space="preserve"> 0.0000002*($E$13/50)^3 + 0.00003*($E$13/50)^2 - 0.0108*($E$13/50) + 1.0135</f>
        <v>0.87673141618078798</v>
      </c>
      <c r="E52" s="37">
        <f t="shared" si="1"/>
        <v>0</v>
      </c>
      <c r="F52" s="38">
        <f xml:space="preserve"> 0.000001*($E$13/50)^3 - 0.00007*($E$13/50)^2 - 0.0124*($E$13/50) + 1.0071</f>
        <v>0.83366760173273979</v>
      </c>
      <c r="I52" s="37">
        <f t="shared" si="2"/>
        <v>0</v>
      </c>
      <c r="J52" s="38">
        <f xml:space="preserve"> -0.000006*($E$13/50)^3 + 0.0002*($E$13/50)^2 - 0.0191*($E$13/50) + 1.0089</f>
        <v>0.77800662658498421</v>
      </c>
    </row>
    <row r="55" spans="1:10" ht="13.5" thickBot="1"/>
    <row r="56" spans="1:10" ht="15.75" thickBot="1">
      <c r="A56" s="143" t="s">
        <v>122</v>
      </c>
      <c r="B56" s="144"/>
      <c r="C56" s="144"/>
      <c r="D56" s="144"/>
      <c r="E56" s="145"/>
      <c r="F56" s="70">
        <f>'Orifice Calculator'!BT44</f>
        <v>57.8</v>
      </c>
      <c r="G56" s="40" t="s">
        <v>124</v>
      </c>
    </row>
    <row r="58" spans="1:10" ht="13.5" thickBot="1"/>
    <row r="59" spans="1:10">
      <c r="A59" s="107" t="s">
        <v>123</v>
      </c>
      <c r="B59" s="108"/>
      <c r="C59" s="108"/>
      <c r="D59" s="108"/>
      <c r="E59" s="108"/>
      <c r="F59" s="108"/>
      <c r="G59" s="108"/>
      <c r="H59" s="108"/>
      <c r="I59" s="108"/>
      <c r="J59" s="109"/>
    </row>
    <row r="60" spans="1:10" ht="17.25" customHeight="1" thickBot="1">
      <c r="A60" s="110"/>
      <c r="B60" s="111"/>
      <c r="C60" s="111"/>
      <c r="D60" s="111"/>
      <c r="E60" s="111"/>
      <c r="F60" s="111"/>
      <c r="G60" s="111"/>
      <c r="H60" s="111"/>
      <c r="I60" s="111"/>
      <c r="J60" s="112"/>
    </row>
    <row r="62" spans="1:10" ht="13.5" thickBot="1"/>
    <row r="63" spans="1:10">
      <c r="A63" s="115" t="s">
        <v>117</v>
      </c>
      <c r="B63" s="116"/>
      <c r="E63" s="115" t="s">
        <v>118</v>
      </c>
      <c r="F63" s="116"/>
      <c r="I63" s="115" t="s">
        <v>119</v>
      </c>
      <c r="J63" s="116"/>
    </row>
    <row r="64" spans="1:10" ht="13.5" thickBot="1">
      <c r="A64" s="117"/>
      <c r="B64" s="118"/>
      <c r="E64" s="117"/>
      <c r="F64" s="118"/>
      <c r="I64" s="117"/>
      <c r="J64" s="118"/>
    </row>
    <row r="66" spans="1:11">
      <c r="A66" s="119" t="s">
        <v>125</v>
      </c>
      <c r="B66" s="119"/>
      <c r="E66" s="119" t="s">
        <v>125</v>
      </c>
      <c r="F66" s="119"/>
      <c r="I66" s="119" t="s">
        <v>125</v>
      </c>
      <c r="J66" s="119"/>
    </row>
    <row r="67" spans="1:11">
      <c r="A67" s="41" t="s">
        <v>126</v>
      </c>
      <c r="B67" s="41">
        <f>IF(AND($F$56&lt;=150,$F$56&gt;100),A$32,IF(AND($F$56&lt;=100,$F$56&gt;75),A$37,IF(AND($F$56&lt;=75,$F$56&gt;50),A$42,IF(AND($F$56&lt;=50,$F$56&gt;25),A$47,A$52))))</f>
        <v>50</v>
      </c>
      <c r="C67" s="42" t="s">
        <v>124</v>
      </c>
      <c r="E67" s="41" t="s">
        <v>126</v>
      </c>
      <c r="F67" s="41">
        <f>IF(AND($F$56&lt;=150,$F$56&gt;100),E$32,IF(AND($F$56&lt;=100,$F$56&gt;75),E$37,IF(AND($F$56&lt;=75,$F$56&gt;50),E$42,IF(AND($F$56&lt;=50,$F$56&gt;25),E$47,E$52))))</f>
        <v>50</v>
      </c>
      <c r="G67" s="42" t="s">
        <v>124</v>
      </c>
      <c r="I67" s="41" t="s">
        <v>126</v>
      </c>
      <c r="J67" s="41">
        <f>IF(AND($F$56&lt;=150,$F$56&gt;100),I$32,IF(AND($F$56&lt;=100,$F$56&gt;75),I$37,IF(AND($F$56&lt;=75,$F$56&gt;50),I$42,IF(AND($F$56&lt;=50,$F$56&gt;25),I$47,I$52))))</f>
        <v>50</v>
      </c>
      <c r="K67" s="42" t="s">
        <v>124</v>
      </c>
    </row>
    <row r="68" spans="1:11">
      <c r="A68" s="41" t="s">
        <v>127</v>
      </c>
      <c r="B68" s="41">
        <f>$F$56</f>
        <v>57.8</v>
      </c>
      <c r="C68" s="42" t="s">
        <v>124</v>
      </c>
      <c r="E68" s="41" t="s">
        <v>127</v>
      </c>
      <c r="F68" s="41">
        <f>$F$56</f>
        <v>57.8</v>
      </c>
      <c r="G68" s="42" t="s">
        <v>124</v>
      </c>
      <c r="I68" s="41" t="s">
        <v>127</v>
      </c>
      <c r="J68" s="41">
        <f>$F$56</f>
        <v>57.8</v>
      </c>
      <c r="K68" s="42" t="s">
        <v>124</v>
      </c>
    </row>
    <row r="69" spans="1:11">
      <c r="A69" s="41" t="s">
        <v>130</v>
      </c>
      <c r="B69" s="41">
        <f>IF(AND($F$56&lt;=150,$F$56&gt;100),A$22,IF(AND($F$56&lt;=100,$F$56&gt;75),A$32,IF(AND($F$56&lt;=75,$F$56&gt;50),A$37,IF(AND($F$56&lt;=50,$F$56&gt;25),A$42,A$47))))</f>
        <v>75</v>
      </c>
      <c r="C69" s="42" t="s">
        <v>124</v>
      </c>
      <c r="E69" s="41" t="s">
        <v>130</v>
      </c>
      <c r="F69" s="41">
        <f>IF(AND($F$56&lt;=150,$F$56&gt;100),E$22,IF(AND($F$56&lt;=100,$F$56&gt;75),E$32,IF(AND($F$56&lt;=75,$F$56&gt;50),E$37,IF(AND($F$56&lt;=50,$F$56&gt;25),E$42,E$47))))</f>
        <v>75</v>
      </c>
      <c r="G69" s="42" t="s">
        <v>124</v>
      </c>
      <c r="I69" s="41" t="s">
        <v>130</v>
      </c>
      <c r="J69" s="41">
        <f>IF(AND($F$56&lt;=150,$F$56&gt;100),I$22,IF(AND($F$56&lt;=100,$F$56&gt;75),I$32,IF(AND($F$56&lt;=75,$F$56&gt;50),I$37,IF(AND($F$56&lt;=50,$F$56&gt;25),I$42,I$47))))</f>
        <v>75</v>
      </c>
      <c r="K69" s="42" t="s">
        <v>124</v>
      </c>
    </row>
    <row r="70" spans="1:11">
      <c r="A70" s="41" t="s">
        <v>128</v>
      </c>
      <c r="B70" s="41">
        <f>IF(AND($F$56&lt;=150,$F$56&gt;100),B$32,IF(AND($F$56&lt;=100,$F$56&gt;75),B$37,IF(AND($F$56&lt;=75,$F$56&gt;50),B$42,IF(AND($F$56&lt;=50,$F$56&gt;25),B$47,B$52))))</f>
        <v>0.91156276498765221</v>
      </c>
      <c r="C70" s="41"/>
      <c r="E70" s="41" t="s">
        <v>128</v>
      </c>
      <c r="F70" s="41">
        <f>IF(AND($F$56&lt;=150,$F$56&gt;100),F$32,IF(AND($F$56&lt;=100,$F$56&gt;75),F$37,IF(AND($F$56&lt;=75,$F$56&gt;50),F$42,IF(AND($F$56&lt;=50,$F$56&gt;25),F$47,F$52))))</f>
        <v>0.89021644545396139</v>
      </c>
      <c r="G70" s="41"/>
      <c r="I70" s="41" t="s">
        <v>128</v>
      </c>
      <c r="J70" s="41">
        <f>IF(AND($F$56&lt;=150,$F$56&gt;100),J$32,IF(AND($F$56&lt;=100,$F$56&gt;75),J$37,IF(AND($F$56&lt;=75,$F$56&gt;50),J$42,IF(AND($F$56&lt;=50,$F$56&gt;25),J$47,J$52))))</f>
        <v>0.87034952955145606</v>
      </c>
      <c r="K70" s="41"/>
    </row>
    <row r="71" spans="1:11">
      <c r="A71" s="41" t="s">
        <v>129</v>
      </c>
      <c r="B71" s="41">
        <f>IF(AND($F$56&lt;=150,$F$56&gt;100),B$22,IF(AND($F$56&lt;=100,$F$56&gt;75),B$32,IF(AND($F$56&lt;=75,$F$56&gt;50),B$37,IF(AND($F$56&lt;=50,$F$56&gt;25),B$42,B$47))))</f>
        <v>0.92773693692372783</v>
      </c>
      <c r="C71" s="41"/>
      <c r="E71" s="41" t="s">
        <v>129</v>
      </c>
      <c r="F71" s="41">
        <f>IF(AND($F$56&lt;=150,$F$56&gt;100),F$22,IF(AND($F$56&lt;=100,$F$56&gt;75),F$32,IF(AND($F$56&lt;=75,$F$56&gt;50),F$37,IF(AND($F$56&lt;=50,$F$56&gt;25),F$42,F$47))))</f>
        <v>0.90816276498765214</v>
      </c>
      <c r="G71" s="41"/>
      <c r="I71" s="41" t="s">
        <v>129</v>
      </c>
      <c r="J71" s="41">
        <f>IF(AND($F$56&lt;=150,$F$56&gt;100),J$22,IF(AND($F$56&lt;=100,$F$56&gt;75),J$32,IF(AND($F$56&lt;=75,$F$56&gt;50),J$37,IF(AND($F$56&lt;=50,$F$56&gt;25),J$42,J$47))))</f>
        <v>0.88471282328812983</v>
      </c>
      <c r="K71" s="41"/>
    </row>
    <row r="73" spans="1:11" ht="13.5" thickBot="1"/>
    <row r="74" spans="1:11" ht="18.75" thickBot="1">
      <c r="A74" s="43" t="s">
        <v>120</v>
      </c>
      <c r="B74" s="105">
        <f>((B68-B67)*(B71-B70))/(B69-B67)+B70</f>
        <v>0.9166091066317078</v>
      </c>
      <c r="C74" s="106"/>
      <c r="E74" s="43" t="s">
        <v>120</v>
      </c>
      <c r="F74" s="105">
        <f>((F68-F67)*(F71-F70))/(F69-F67)+F70</f>
        <v>0.89581569714847287</v>
      </c>
      <c r="G74" s="106"/>
      <c r="I74" s="43" t="s">
        <v>120</v>
      </c>
      <c r="J74" s="105">
        <f>((J68-J67)*(J71-J70))/(J69-J67)+J70</f>
        <v>0.87483087719729824</v>
      </c>
      <c r="K74" s="106"/>
    </row>
    <row r="77" spans="1:11" ht="13.5" thickBot="1"/>
    <row r="78" spans="1:11">
      <c r="A78" s="107" t="s">
        <v>131</v>
      </c>
      <c r="B78" s="108"/>
      <c r="C78" s="108"/>
      <c r="D78" s="108"/>
      <c r="E78" s="108"/>
      <c r="F78" s="108"/>
      <c r="G78" s="108"/>
      <c r="H78" s="108"/>
      <c r="I78" s="108"/>
      <c r="J78" s="109"/>
    </row>
    <row r="79" spans="1:11" ht="18.75" customHeight="1" thickBot="1">
      <c r="A79" s="110"/>
      <c r="B79" s="111"/>
      <c r="C79" s="111"/>
      <c r="D79" s="111"/>
      <c r="E79" s="111"/>
      <c r="F79" s="111"/>
      <c r="G79" s="111"/>
      <c r="H79" s="111"/>
      <c r="I79" s="111"/>
      <c r="J79" s="112"/>
    </row>
    <row r="81" spans="2:9">
      <c r="B81" s="44"/>
      <c r="C81" s="44"/>
      <c r="D81" s="44"/>
      <c r="G81" s="44"/>
      <c r="H81" s="44"/>
      <c r="I81" s="44"/>
    </row>
    <row r="82" spans="2:9">
      <c r="D82" s="113" t="s">
        <v>125</v>
      </c>
      <c r="E82" s="113"/>
    </row>
    <row r="83" spans="2:9">
      <c r="B83" s="114"/>
      <c r="C83" s="114"/>
      <c r="D83" s="41" t="s">
        <v>126</v>
      </c>
      <c r="E83" s="41">
        <f>IF($H$9="Molecular Weight",IF(AND($D$11&lt;=18.85,$D$11&gt;17.4),17.4,15.95),IF(AND($D$11&lt;=0.65,$D$11&gt;0.6),0.6,0.55))</f>
        <v>15.95</v>
      </c>
      <c r="F83" s="41" t="str">
        <f>IF($E$11="lbm/lbmol", "lbm/lbmol","")</f>
        <v>lbm/lbmol</v>
      </c>
    </row>
    <row r="84" spans="2:9">
      <c r="B84" s="16"/>
      <c r="C84" s="16"/>
      <c r="D84" s="41" t="s">
        <v>127</v>
      </c>
      <c r="E84" s="41">
        <f>$D$11</f>
        <v>16.797305410120003</v>
      </c>
      <c r="F84" s="41" t="str">
        <f>IF($E$11="lbm/lbmol", "lbm/lbmol","")</f>
        <v>lbm/lbmol</v>
      </c>
    </row>
    <row r="85" spans="2:9">
      <c r="B85" s="16"/>
      <c r="C85" s="16"/>
      <c r="D85" s="41" t="s">
        <v>130</v>
      </c>
      <c r="E85" s="41">
        <f>IF($H$9="Molecular Weight",IF(AND($D$11&lt;=18.85,$D$11&gt;17.4),18.85,17.4),IF(AND($D$11&lt;=0.65,$D$11&gt;0.6),0.65,0.6))</f>
        <v>17.399999999999999</v>
      </c>
      <c r="F85" s="41" t="str">
        <f>IF($E$11="lbm/lbmol", "lbm/lbmol","")</f>
        <v>lbm/lbmol</v>
      </c>
    </row>
    <row r="86" spans="2:9">
      <c r="B86" s="16"/>
      <c r="C86" s="16"/>
      <c r="D86" s="41" t="s">
        <v>128</v>
      </c>
      <c r="E86" s="41">
        <f>IF($H$9="Molecular Weight",IF(AND($D$11&lt;=18.85,$D$11&gt;17.4),$F$74,$B$74),IF(AND($D$11&lt;=0.65,$D$11&gt;0.6),$F$74,$B$74))</f>
        <v>0.9166091066317078</v>
      </c>
      <c r="F86" s="41"/>
    </row>
    <row r="87" spans="2:9">
      <c r="B87" s="16"/>
      <c r="C87" s="16"/>
      <c r="D87" s="41" t="s">
        <v>132</v>
      </c>
      <c r="E87" s="41">
        <f>IF($H$9="Molecular Weight",IF(AND($D$11&lt;=18.85,$D$11&gt;17.4),$K$74,$F$74),IF(AND($D$11&lt;=0.65,$D$11&gt;0.6),$J$74,$F$74))</f>
        <v>0.89581569714847287</v>
      </c>
      <c r="F87" s="41"/>
    </row>
    <row r="88" spans="2:9">
      <c r="B88" s="16"/>
      <c r="C88" s="16"/>
    </row>
    <row r="90" spans="2:9" ht="13.5" thickBot="1"/>
    <row r="91" spans="2:9">
      <c r="C91" s="97" t="s">
        <v>120</v>
      </c>
      <c r="D91" s="98"/>
      <c r="E91" s="101">
        <f>ABS(((E84-E83)*(E87-E86))/(E85-E83))+E87</f>
        <v>0.90796629601053191</v>
      </c>
      <c r="F91" s="102"/>
    </row>
    <row r="92" spans="2:9" ht="13.5" thickBot="1">
      <c r="C92" s="99"/>
      <c r="D92" s="100"/>
      <c r="E92" s="103"/>
      <c r="F92" s="104"/>
    </row>
  </sheetData>
  <mergeCells count="26">
    <mergeCell ref="A59:J60"/>
    <mergeCell ref="A1:J2"/>
    <mergeCell ref="A3:J5"/>
    <mergeCell ref="A7:G7"/>
    <mergeCell ref="H9:I9"/>
    <mergeCell ref="A11:C11"/>
    <mergeCell ref="A13:D13"/>
    <mergeCell ref="A16:J17"/>
    <mergeCell ref="A19:B20"/>
    <mergeCell ref="E19:F20"/>
    <mergeCell ref="I19:J20"/>
    <mergeCell ref="A56:E56"/>
    <mergeCell ref="A63:B64"/>
    <mergeCell ref="E63:F64"/>
    <mergeCell ref="I63:J64"/>
    <mergeCell ref="A66:B66"/>
    <mergeCell ref="E66:F66"/>
    <mergeCell ref="I66:J66"/>
    <mergeCell ref="C91:D92"/>
    <mergeCell ref="E91:F92"/>
    <mergeCell ref="B74:C74"/>
    <mergeCell ref="F74:G74"/>
    <mergeCell ref="J74:K74"/>
    <mergeCell ref="A78:J79"/>
    <mergeCell ref="D82:E82"/>
    <mergeCell ref="B83:C83"/>
  </mergeCells>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Sheet3"/>
  <dimension ref="A1:E26"/>
  <sheetViews>
    <sheetView workbookViewId="0">
      <selection activeCell="E12" sqref="E12"/>
    </sheetView>
  </sheetViews>
  <sheetFormatPr defaultRowHeight="12.75"/>
  <cols>
    <col min="1" max="1" width="34.28515625" customWidth="1"/>
    <col min="2" max="2" width="11.42578125" customWidth="1"/>
    <col min="3" max="3" width="4" customWidth="1"/>
  </cols>
  <sheetData>
    <row r="1" spans="1:5">
      <c r="A1" s="54" t="s">
        <v>223</v>
      </c>
      <c r="E1" s="47" t="s">
        <v>182</v>
      </c>
    </row>
    <row r="3" spans="1:5">
      <c r="A3" s="48" t="s">
        <v>213</v>
      </c>
      <c r="B3" s="72">
        <f>'Orifice Calculator'!BT40</f>
        <v>6855</v>
      </c>
      <c r="C3" s="48" t="s">
        <v>215</v>
      </c>
    </row>
    <row r="4" spans="1:5">
      <c r="A4" s="48" t="s">
        <v>220</v>
      </c>
      <c r="B4" s="51">
        <f>14.54*((55096-(B3-361))/(55096+(B3-361)))</f>
        <v>11.4738282188667</v>
      </c>
      <c r="C4" s="48" t="s">
        <v>216</v>
      </c>
    </row>
    <row r="5" spans="1:5">
      <c r="A5" s="48" t="s">
        <v>212</v>
      </c>
      <c r="B5" s="55">
        <f>'Orifice Calculator'!BT42</f>
        <v>648</v>
      </c>
      <c r="C5" s="48" t="s">
        <v>116</v>
      </c>
    </row>
    <row r="6" spans="1:5">
      <c r="A6" s="52" t="s">
        <v>221</v>
      </c>
      <c r="B6" s="51">
        <f>Patm+B5</f>
        <v>659.47382821886674</v>
      </c>
      <c r="C6" s="48" t="s">
        <v>214</v>
      </c>
    </row>
    <row r="7" spans="1:5">
      <c r="A7" s="48" t="s">
        <v>217</v>
      </c>
      <c r="B7" s="72">
        <f>'Orifice Calculator'!BT44</f>
        <v>57.8</v>
      </c>
      <c r="C7" s="48" t="s">
        <v>218</v>
      </c>
    </row>
    <row r="8" spans="1:5">
      <c r="A8" s="52" t="s">
        <v>221</v>
      </c>
      <c r="B8" s="50">
        <f>B7+459.67</f>
        <v>517.47</v>
      </c>
      <c r="C8" s="48" t="s">
        <v>219</v>
      </c>
    </row>
    <row r="9" spans="1:5">
      <c r="A9" s="48" t="s">
        <v>208</v>
      </c>
      <c r="B9" s="53">
        <f>'Orifice Calculator'!BT28</f>
        <v>0.58797069486505071</v>
      </c>
    </row>
    <row r="10" spans="1:5">
      <c r="A10" s="48" t="s">
        <v>209</v>
      </c>
      <c r="B10" s="50">
        <f>'Orifice Calculator'!BT25</f>
        <v>0.72540000000000004</v>
      </c>
      <c r="C10" s="48" t="s">
        <v>211</v>
      </c>
    </row>
    <row r="11" spans="1:5">
      <c r="A11" s="48" t="s">
        <v>210</v>
      </c>
      <c r="B11" s="50">
        <f>'Orifice Calculator'!BT21</f>
        <v>0.5222</v>
      </c>
      <c r="C11" s="48" t="s">
        <v>211</v>
      </c>
    </row>
    <row r="13" spans="1:5">
      <c r="D13" t="s">
        <v>183</v>
      </c>
    </row>
    <row r="14" spans="1:5">
      <c r="A14" t="s">
        <v>184</v>
      </c>
      <c r="B14">
        <f>((226.29*T/(99.15+211.9*SG-CO-1.681*N)-460)+460)/500</f>
        <v>1.0542852323008849</v>
      </c>
      <c r="D14" t="s">
        <v>185</v>
      </c>
    </row>
    <row r="15" spans="1:5">
      <c r="A15" t="s">
        <v>186</v>
      </c>
      <c r="B15">
        <f>((156.47*(P-Patm))/(160.8-7.22*SG+CO-0.392*N)+14.7)/1000</f>
        <v>0.66020186535923031</v>
      </c>
      <c r="D15" t="s">
        <v>187</v>
      </c>
    </row>
    <row r="16" spans="1:5">
      <c r="A16" t="s">
        <v>188</v>
      </c>
      <c r="B16">
        <f>0.0330378/X^2-0.0221323/X^3+0.0161353/X^5</f>
        <v>2.3224201237010071E-2</v>
      </c>
      <c r="D16" t="s">
        <v>189</v>
      </c>
    </row>
    <row r="17" spans="1:4">
      <c r="A17" t="s">
        <v>190</v>
      </c>
      <c r="B17" s="48">
        <f>(0.265827/X^2+0.0457697/X^4-0.133185/X)/Y</f>
        <v>6.4534374272181321</v>
      </c>
      <c r="C17" s="48"/>
      <c r="D17" t="s">
        <v>191</v>
      </c>
    </row>
    <row r="18" spans="1:4">
      <c r="A18" t="s">
        <v>192</v>
      </c>
      <c r="B18" s="48">
        <f>1-0.00075*Z^2.3*(2-2.71828^(-20*(1.09-X)))</f>
        <v>0.99956405889321831</v>
      </c>
      <c r="C18" s="48"/>
      <c r="D18" t="s">
        <v>193</v>
      </c>
    </row>
    <row r="19" spans="1:4">
      <c r="A19" t="s">
        <v>194</v>
      </c>
      <c r="B19" s="48">
        <f>(1.317*(1.09-X)^4)*Z</f>
        <v>1.4146657552768035E-6</v>
      </c>
      <c r="C19" s="48"/>
      <c r="D19" t="s">
        <v>195</v>
      </c>
    </row>
    <row r="20" spans="1:4">
      <c r="A20" t="s">
        <v>196</v>
      </c>
      <c r="B20" s="48">
        <f>G-(1.317*(1.09-X)^4*Z)*(1.69-Z^2)-H*(1.69-Z^2)</f>
        <v>0.99956051053379691</v>
      </c>
      <c r="C20" s="48"/>
      <c r="D20" t="s">
        <v>197</v>
      </c>
    </row>
    <row r="21" spans="1:4">
      <c r="A21" t="s">
        <v>198</v>
      </c>
      <c r="B21" s="48">
        <f>9*D-2*Y*D^3</f>
        <v>45.597214750663269</v>
      </c>
      <c r="C21" s="48"/>
      <c r="D21" t="s">
        <v>199</v>
      </c>
    </row>
    <row r="22" spans="1:4">
      <c r="A22" t="s">
        <v>200</v>
      </c>
      <c r="B22" s="48">
        <f>A/(54*Y*Z^3)-B/(2*Y*Z^2)</f>
        <v>76.977034709382622</v>
      </c>
      <c r="C22" s="48"/>
      <c r="D22" t="s">
        <v>201</v>
      </c>
    </row>
    <row r="23" spans="1:4">
      <c r="A23" t="s">
        <v>202</v>
      </c>
      <c r="B23" s="48">
        <f>(3-Y*D^2)/(9*Y*Z^2)</f>
        <v>22.312830801222354</v>
      </c>
      <c r="C23" s="48"/>
      <c r="D23" t="s">
        <v>203</v>
      </c>
    </row>
    <row r="24" spans="1:4">
      <c r="A24" t="s">
        <v>133</v>
      </c>
      <c r="B24" s="48">
        <f>(J+(J^2+K^3)^0.5)^(1/3)</f>
        <v>5.920165659335602</v>
      </c>
      <c r="C24" s="48"/>
      <c r="D24" t="s">
        <v>204</v>
      </c>
    </row>
    <row r="25" spans="1:4" ht="13.5" thickBot="1">
      <c r="A25" t="s">
        <v>205</v>
      </c>
      <c r="B25" s="48">
        <f>(0.00132/X^3.25+1)^2</f>
        <v>1.0022244945520453</v>
      </c>
      <c r="C25" s="48"/>
      <c r="D25" t="s">
        <v>206</v>
      </c>
    </row>
    <row r="26" spans="1:4" ht="16.5" thickBot="1">
      <c r="A26" s="56" t="s">
        <v>181</v>
      </c>
      <c r="B26" s="58">
        <f>L/(((3-Y*D^2)/(9*Y*Z^2))/F-F+D/(3*Z))</f>
        <v>0.90526730159158963</v>
      </c>
      <c r="C26" s="49"/>
      <c r="D26" t="s">
        <v>207</v>
      </c>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codeName="Sheet4"/>
  <dimension ref="A1:AF53"/>
  <sheetViews>
    <sheetView workbookViewId="0">
      <selection activeCell="Y30" sqref="Y30"/>
    </sheetView>
  </sheetViews>
  <sheetFormatPr defaultRowHeight="12.75"/>
  <cols>
    <col min="1" max="1" width="16.140625" style="15" customWidth="1"/>
    <col min="2" max="32" width="11.28515625" style="15" customWidth="1"/>
    <col min="33" max="16384" width="9.140625" style="15"/>
  </cols>
  <sheetData>
    <row r="1" spans="1:32">
      <c r="A1" s="150" t="s">
        <v>5</v>
      </c>
      <c r="B1" s="150"/>
      <c r="C1" s="150"/>
      <c r="D1" s="150"/>
    </row>
    <row r="2" spans="1:32">
      <c r="A2" s="150"/>
      <c r="B2" s="150"/>
      <c r="C2" s="150"/>
      <c r="D2" s="150"/>
      <c r="G2" s="156" t="s">
        <v>72</v>
      </c>
      <c r="H2" s="157"/>
      <c r="I2" s="157"/>
      <c r="J2" s="157"/>
      <c r="K2" s="157"/>
    </row>
    <row r="3" spans="1:32">
      <c r="A3" s="150"/>
      <c r="B3" s="150"/>
      <c r="C3" s="150"/>
      <c r="D3" s="150"/>
      <c r="E3" s="16"/>
      <c r="F3" s="16"/>
      <c r="G3" s="157"/>
      <c r="H3" s="157"/>
      <c r="I3" s="157"/>
      <c r="J3" s="157"/>
      <c r="K3" s="157"/>
    </row>
    <row r="4" spans="1:32" ht="13.5" thickBot="1">
      <c r="A4" s="17"/>
      <c r="B4" s="16"/>
    </row>
    <row r="5" spans="1:32" ht="18.75" thickBot="1">
      <c r="A5" s="18"/>
      <c r="B5" s="151" t="s">
        <v>12</v>
      </c>
      <c r="C5" s="152"/>
      <c r="D5" s="152"/>
      <c r="E5" s="152"/>
      <c r="F5" s="152"/>
      <c r="G5" s="152"/>
      <c r="H5" s="152"/>
      <c r="I5" s="152"/>
      <c r="J5" s="152"/>
      <c r="K5" s="152"/>
      <c r="L5" s="152"/>
      <c r="M5" s="152"/>
      <c r="N5" s="153"/>
      <c r="O5" s="154" t="s">
        <v>12</v>
      </c>
      <c r="P5" s="154"/>
      <c r="Q5" s="154"/>
      <c r="R5" s="154"/>
      <c r="S5" s="154"/>
      <c r="T5" s="154"/>
      <c r="U5" s="154"/>
      <c r="V5" s="154"/>
      <c r="W5" s="154"/>
      <c r="X5" s="154"/>
      <c r="Y5" s="154"/>
      <c r="Z5" s="154"/>
      <c r="AA5" s="154"/>
      <c r="AB5" s="154"/>
      <c r="AC5" s="154"/>
      <c r="AD5" s="154"/>
      <c r="AE5" s="154"/>
      <c r="AF5" s="155"/>
    </row>
    <row r="6" spans="1:32">
      <c r="B6" s="19">
        <v>150</v>
      </c>
      <c r="C6" s="20">
        <f>B6-5</f>
        <v>145</v>
      </c>
      <c r="D6" s="20">
        <f t="shared" ref="D6:AF6" si="0">C6-5</f>
        <v>140</v>
      </c>
      <c r="E6" s="20">
        <f t="shared" si="0"/>
        <v>135</v>
      </c>
      <c r="F6" s="20">
        <f t="shared" si="0"/>
        <v>130</v>
      </c>
      <c r="G6" s="20">
        <f t="shared" si="0"/>
        <v>125</v>
      </c>
      <c r="H6" s="20">
        <f t="shared" si="0"/>
        <v>120</v>
      </c>
      <c r="I6" s="20">
        <f t="shared" si="0"/>
        <v>115</v>
      </c>
      <c r="J6" s="20">
        <f t="shared" si="0"/>
        <v>110</v>
      </c>
      <c r="K6" s="20">
        <f t="shared" si="0"/>
        <v>105</v>
      </c>
      <c r="L6" s="21">
        <f t="shared" si="0"/>
        <v>100</v>
      </c>
      <c r="M6" s="20">
        <f t="shared" si="0"/>
        <v>95</v>
      </c>
      <c r="N6" s="20">
        <f t="shared" si="0"/>
        <v>90</v>
      </c>
      <c r="O6" s="20">
        <f t="shared" si="0"/>
        <v>85</v>
      </c>
      <c r="P6" s="20">
        <f t="shared" si="0"/>
        <v>80</v>
      </c>
      <c r="Q6" s="21">
        <f t="shared" si="0"/>
        <v>75</v>
      </c>
      <c r="R6" s="20">
        <f t="shared" si="0"/>
        <v>70</v>
      </c>
      <c r="S6" s="20">
        <f t="shared" si="0"/>
        <v>65</v>
      </c>
      <c r="T6" s="20">
        <f t="shared" si="0"/>
        <v>60</v>
      </c>
      <c r="U6" s="20">
        <f t="shared" si="0"/>
        <v>55</v>
      </c>
      <c r="V6" s="21">
        <f t="shared" si="0"/>
        <v>50</v>
      </c>
      <c r="W6" s="20">
        <f t="shared" si="0"/>
        <v>45</v>
      </c>
      <c r="X6" s="20">
        <f t="shared" si="0"/>
        <v>40</v>
      </c>
      <c r="Y6" s="20">
        <f t="shared" si="0"/>
        <v>35</v>
      </c>
      <c r="Z6" s="20">
        <f t="shared" si="0"/>
        <v>30</v>
      </c>
      <c r="AA6" s="21">
        <f t="shared" si="0"/>
        <v>25</v>
      </c>
      <c r="AB6" s="20">
        <f t="shared" si="0"/>
        <v>20</v>
      </c>
      <c r="AC6" s="20">
        <f t="shared" si="0"/>
        <v>15</v>
      </c>
      <c r="AD6" s="20">
        <f t="shared" si="0"/>
        <v>10</v>
      </c>
      <c r="AE6" s="20">
        <f t="shared" si="0"/>
        <v>5</v>
      </c>
      <c r="AF6" s="21">
        <f t="shared" si="0"/>
        <v>0</v>
      </c>
    </row>
    <row r="7" spans="1:32" ht="12.75" customHeight="1">
      <c r="A7" s="22" t="s">
        <v>1</v>
      </c>
      <c r="B7" s="23" t="s">
        <v>3</v>
      </c>
      <c r="C7" s="24" t="s">
        <v>3</v>
      </c>
      <c r="D7" s="24" t="s">
        <v>3</v>
      </c>
      <c r="E7" s="24" t="s">
        <v>3</v>
      </c>
      <c r="F7" s="24" t="s">
        <v>3</v>
      </c>
      <c r="G7" s="24" t="s">
        <v>3</v>
      </c>
      <c r="H7" s="24" t="s">
        <v>3</v>
      </c>
      <c r="I7" s="24" t="s">
        <v>3</v>
      </c>
      <c r="J7" s="24" t="s">
        <v>3</v>
      </c>
      <c r="K7" s="24" t="s">
        <v>3</v>
      </c>
      <c r="L7" s="23" t="s">
        <v>3</v>
      </c>
      <c r="M7" s="24" t="s">
        <v>3</v>
      </c>
      <c r="N7" s="24" t="s">
        <v>3</v>
      </c>
      <c r="O7" s="24" t="s">
        <v>3</v>
      </c>
      <c r="P7" s="24" t="s">
        <v>3</v>
      </c>
      <c r="Q7" s="25" t="s">
        <v>3</v>
      </c>
      <c r="R7" s="24" t="s">
        <v>3</v>
      </c>
      <c r="S7" s="24" t="s">
        <v>3</v>
      </c>
      <c r="T7" s="24" t="s">
        <v>3</v>
      </c>
      <c r="U7" s="24" t="s">
        <v>3</v>
      </c>
      <c r="V7" s="26" t="s">
        <v>3</v>
      </c>
      <c r="W7" s="24" t="s">
        <v>3</v>
      </c>
      <c r="X7" s="24" t="s">
        <v>3</v>
      </c>
      <c r="Y7" s="24" t="s">
        <v>3</v>
      </c>
      <c r="Z7" s="24" t="s">
        <v>3</v>
      </c>
      <c r="AA7" s="26" t="s">
        <v>3</v>
      </c>
      <c r="AB7" s="24" t="s">
        <v>3</v>
      </c>
      <c r="AC7" s="24" t="s">
        <v>3</v>
      </c>
      <c r="AD7" s="24" t="s">
        <v>3</v>
      </c>
      <c r="AE7" s="24" t="s">
        <v>3</v>
      </c>
      <c r="AF7" s="26" t="s">
        <v>3</v>
      </c>
    </row>
    <row r="8" spans="1:32">
      <c r="A8" s="27">
        <v>0</v>
      </c>
      <c r="B8" s="26">
        <v>1</v>
      </c>
      <c r="C8" s="28">
        <v>1</v>
      </c>
      <c r="D8" s="28">
        <v>1</v>
      </c>
      <c r="E8" s="28">
        <v>1</v>
      </c>
      <c r="F8" s="28">
        <v>1</v>
      </c>
      <c r="G8" s="28">
        <v>1</v>
      </c>
      <c r="H8" s="28">
        <v>1</v>
      </c>
      <c r="I8" s="28">
        <v>1</v>
      </c>
      <c r="J8" s="28">
        <v>1</v>
      </c>
      <c r="K8" s="28">
        <v>1</v>
      </c>
      <c r="L8" s="26">
        <v>1</v>
      </c>
      <c r="M8" s="28">
        <v>1</v>
      </c>
      <c r="N8" s="28">
        <v>1</v>
      </c>
      <c r="O8" s="28">
        <v>1</v>
      </c>
      <c r="P8" s="28">
        <v>1</v>
      </c>
      <c r="Q8" s="26">
        <v>1</v>
      </c>
      <c r="R8" s="28">
        <v>1</v>
      </c>
      <c r="S8" s="28">
        <v>1</v>
      </c>
      <c r="T8" s="28">
        <v>1</v>
      </c>
      <c r="U8" s="28">
        <v>1</v>
      </c>
      <c r="V8" s="26">
        <v>1</v>
      </c>
      <c r="W8" s="28">
        <v>1</v>
      </c>
      <c r="X8" s="28">
        <v>1</v>
      </c>
      <c r="Y8" s="28">
        <v>1</v>
      </c>
      <c r="Z8" s="28">
        <v>1</v>
      </c>
      <c r="AA8" s="26">
        <v>1</v>
      </c>
      <c r="AB8" s="28">
        <v>1</v>
      </c>
      <c r="AC8" s="28">
        <v>1</v>
      </c>
      <c r="AD8" s="28">
        <v>1</v>
      </c>
      <c r="AE8" s="28">
        <v>1</v>
      </c>
      <c r="AF8" s="26">
        <v>1</v>
      </c>
    </row>
    <row r="9" spans="1:32">
      <c r="A9" s="27">
        <f>A8+50</f>
        <v>50</v>
      </c>
      <c r="B9" s="26">
        <v>0.997</v>
      </c>
      <c r="C9" s="28">
        <f>((C$6-$L$6)*($B9-$L9))/($B$6-$L$6) + $L9</f>
        <v>0.99670000000000003</v>
      </c>
      <c r="D9" s="28">
        <f>((D$6-$L$6)*($B9-$L9))/($B$6-$L$6) + $L9</f>
        <v>0.99639999999999995</v>
      </c>
      <c r="E9" s="28">
        <f t="shared" ref="E9:K24" si="1">((E$6-$L$6)*($B9-$L9))/($B$6-$L$6) + $L9</f>
        <v>0.99609999999999999</v>
      </c>
      <c r="F9" s="28">
        <f t="shared" si="1"/>
        <v>0.99580000000000002</v>
      </c>
      <c r="G9" s="28">
        <f t="shared" si="1"/>
        <v>0.99550000000000005</v>
      </c>
      <c r="H9" s="28">
        <f t="shared" si="1"/>
        <v>0.99519999999999997</v>
      </c>
      <c r="I9" s="28">
        <f t="shared" si="1"/>
        <v>0.99490000000000001</v>
      </c>
      <c r="J9" s="28">
        <f t="shared" si="1"/>
        <v>0.99460000000000004</v>
      </c>
      <c r="K9" s="28">
        <f t="shared" si="1"/>
        <v>0.99429999999999996</v>
      </c>
      <c r="L9" s="26">
        <v>0.99399999999999999</v>
      </c>
      <c r="M9" s="28">
        <f>((M$6-$Q$6)*($L9-$Q9))/($L$6-$Q$6) + $Q9</f>
        <v>0.99380000000000002</v>
      </c>
      <c r="N9" s="28">
        <f>((N$6-$Q$6)*($L9-$Q9))/($L$6-$Q$6) + $Q9</f>
        <v>0.99360000000000004</v>
      </c>
      <c r="O9" s="28">
        <f>((O$6-$Q$6)*($L9-$Q9))/($L$6-$Q$6) + $Q9</f>
        <v>0.99339999999999995</v>
      </c>
      <c r="P9" s="28">
        <f>((P$6-$Q$6)*($L9-$Q9))/($L$6-$Q$6) + $Q9</f>
        <v>0.99319999999999997</v>
      </c>
      <c r="Q9" s="26">
        <v>0.99299999999999999</v>
      </c>
      <c r="R9" s="28">
        <f>((R$6-$V$6)*($Q9-$V9))/($Q$6-$V$6) + $V9</f>
        <v>0.99280000000000002</v>
      </c>
      <c r="S9" s="28">
        <f t="shared" ref="S9:U24" si="2">((S$6-$V$6)*($Q9-$V9))/($Q$6-$V$6) + $V9</f>
        <v>0.99260000000000004</v>
      </c>
      <c r="T9" s="28">
        <f t="shared" si="2"/>
        <v>0.99239999999999995</v>
      </c>
      <c r="U9" s="28">
        <f t="shared" si="2"/>
        <v>0.99219999999999997</v>
      </c>
      <c r="V9" s="26">
        <v>0.99199999999999999</v>
      </c>
      <c r="W9" s="28">
        <f>((W$6-$AA$6)*($V9-$AA9))/($V$6-$AA$6) + $AA9</f>
        <v>0.99160000000000004</v>
      </c>
      <c r="X9" s="28">
        <f t="shared" ref="X9:Z24" si="3">((X$6-$AA$6)*($V9-$AA9))/($V$6-$AA$6) + $AA9</f>
        <v>0.99119999999999997</v>
      </c>
      <c r="Y9" s="28">
        <f t="shared" si="3"/>
        <v>0.99080000000000001</v>
      </c>
      <c r="Z9" s="28">
        <f t="shared" si="3"/>
        <v>0.99039999999999995</v>
      </c>
      <c r="AA9" s="26">
        <v>0.99</v>
      </c>
      <c r="AB9" s="28">
        <f>((AB$6-$AF$6)*($AA9-$AF9))/($AA$6-$AF$6) + $AF9</f>
        <v>0.99</v>
      </c>
      <c r="AC9" s="28">
        <f t="shared" ref="AC9:AE24" si="4">((AC$6-$AF$6)*($AA9-$AF9))/($AA$6-$AF$6) + $AF9</f>
        <v>0.99</v>
      </c>
      <c r="AD9" s="28">
        <f t="shared" si="4"/>
        <v>0.99</v>
      </c>
      <c r="AE9" s="28">
        <f t="shared" si="4"/>
        <v>0.99</v>
      </c>
      <c r="AF9" s="26">
        <v>0.99</v>
      </c>
    </row>
    <row r="10" spans="1:32">
      <c r="A10" s="27">
        <f t="shared" ref="A10:A32" si="5">A9+50</f>
        <v>100</v>
      </c>
      <c r="B10" s="26">
        <v>0.99399999999999999</v>
      </c>
      <c r="C10" s="28">
        <f t="shared" ref="C10:K33" si="6">((C$6-$L$6)*($B10-$L10))/($B$6-$L$6) + $L10</f>
        <v>0.99360000000000004</v>
      </c>
      <c r="D10" s="28">
        <f t="shared" si="6"/>
        <v>0.99319999999999997</v>
      </c>
      <c r="E10" s="28">
        <f t="shared" si="1"/>
        <v>0.99280000000000002</v>
      </c>
      <c r="F10" s="28">
        <f t="shared" si="1"/>
        <v>0.99239999999999995</v>
      </c>
      <c r="G10" s="28">
        <f t="shared" si="1"/>
        <v>0.99199999999999999</v>
      </c>
      <c r="H10" s="28">
        <f t="shared" si="1"/>
        <v>0.99160000000000004</v>
      </c>
      <c r="I10" s="28">
        <f t="shared" si="1"/>
        <v>0.99119999999999997</v>
      </c>
      <c r="J10" s="28">
        <f t="shared" si="1"/>
        <v>0.99080000000000001</v>
      </c>
      <c r="K10" s="28">
        <f t="shared" si="1"/>
        <v>0.99039999999999995</v>
      </c>
      <c r="L10" s="26">
        <v>0.99</v>
      </c>
      <c r="M10" s="28">
        <f t="shared" ref="M10:P33" si="7">((M$6-$Q$6)*($L10-$Q10))/($L$6-$Q$6) + $Q10</f>
        <v>0.98939999999999995</v>
      </c>
      <c r="N10" s="28">
        <f t="shared" si="7"/>
        <v>0.98880000000000001</v>
      </c>
      <c r="O10" s="28">
        <f t="shared" si="7"/>
        <v>0.98819999999999997</v>
      </c>
      <c r="P10" s="28">
        <f t="shared" si="7"/>
        <v>0.98760000000000003</v>
      </c>
      <c r="Q10" s="26">
        <v>0.98699999999999999</v>
      </c>
      <c r="R10" s="28">
        <f t="shared" ref="R10:U33" si="8">((R$6-$V$6)*($Q10-$V10))/($Q$6-$V$6) + $V10</f>
        <v>0.98680000000000001</v>
      </c>
      <c r="S10" s="28">
        <f t="shared" si="2"/>
        <v>0.98660000000000003</v>
      </c>
      <c r="T10" s="28">
        <f t="shared" si="2"/>
        <v>0.98639999999999994</v>
      </c>
      <c r="U10" s="28">
        <f t="shared" si="2"/>
        <v>0.98619999999999997</v>
      </c>
      <c r="V10" s="26">
        <v>0.98599999999999999</v>
      </c>
      <c r="W10" s="28">
        <f t="shared" ref="W10:Z33" si="9">((W$6-$AA$6)*($V10-$AA10))/($V$6-$AA$6) + $AA10</f>
        <v>0.98599999999999999</v>
      </c>
      <c r="X10" s="28">
        <f t="shared" si="3"/>
        <v>0.98599999999999999</v>
      </c>
      <c r="Y10" s="28">
        <f t="shared" si="3"/>
        <v>0.98599999999999999</v>
      </c>
      <c r="Z10" s="28">
        <f t="shared" si="3"/>
        <v>0.98599999999999999</v>
      </c>
      <c r="AA10" s="26">
        <v>0.98599999999999999</v>
      </c>
      <c r="AB10" s="28">
        <f t="shared" ref="AB10:AE33" si="10">((AB$6-$AF$6)*($AA10-$AF10))/($AA$6-$AF$6) + $AF10</f>
        <v>0.98580000000000001</v>
      </c>
      <c r="AC10" s="28">
        <f t="shared" si="4"/>
        <v>0.98560000000000003</v>
      </c>
      <c r="AD10" s="28">
        <f t="shared" si="4"/>
        <v>0.98539999999999994</v>
      </c>
      <c r="AE10" s="28">
        <f t="shared" si="4"/>
        <v>0.98519999999999996</v>
      </c>
      <c r="AF10" s="26">
        <v>0.98499999999999999</v>
      </c>
    </row>
    <row r="11" spans="1:32">
      <c r="A11" s="27">
        <f t="shared" si="5"/>
        <v>150</v>
      </c>
      <c r="B11" s="26">
        <v>0.99199999999999999</v>
      </c>
      <c r="C11" s="28">
        <f t="shared" si="6"/>
        <v>0.99129999999999996</v>
      </c>
      <c r="D11" s="28">
        <f t="shared" si="6"/>
        <v>0.99060000000000004</v>
      </c>
      <c r="E11" s="28">
        <f t="shared" si="1"/>
        <v>0.9899</v>
      </c>
      <c r="F11" s="28">
        <f t="shared" si="1"/>
        <v>0.98919999999999997</v>
      </c>
      <c r="G11" s="28">
        <f t="shared" si="1"/>
        <v>0.98849999999999993</v>
      </c>
      <c r="H11" s="28">
        <f t="shared" si="1"/>
        <v>0.98780000000000001</v>
      </c>
      <c r="I11" s="28">
        <f t="shared" si="1"/>
        <v>0.98709999999999998</v>
      </c>
      <c r="J11" s="28">
        <f t="shared" si="1"/>
        <v>0.98639999999999994</v>
      </c>
      <c r="K11" s="28">
        <f t="shared" si="1"/>
        <v>0.98570000000000002</v>
      </c>
      <c r="L11" s="26">
        <v>0.98499999999999999</v>
      </c>
      <c r="M11" s="28">
        <f t="shared" si="7"/>
        <v>0.98419999999999996</v>
      </c>
      <c r="N11" s="28">
        <f t="shared" si="7"/>
        <v>0.98339999999999994</v>
      </c>
      <c r="O11" s="28">
        <f t="shared" si="7"/>
        <v>0.98260000000000003</v>
      </c>
      <c r="P11" s="28">
        <f t="shared" si="7"/>
        <v>0.98180000000000001</v>
      </c>
      <c r="Q11" s="26">
        <v>0.98099999999999998</v>
      </c>
      <c r="R11" s="28">
        <f t="shared" si="8"/>
        <v>0.98099999999999998</v>
      </c>
      <c r="S11" s="28">
        <f t="shared" si="2"/>
        <v>0.98099999999999998</v>
      </c>
      <c r="T11" s="28">
        <f t="shared" si="2"/>
        <v>0.98099999999999998</v>
      </c>
      <c r="U11" s="28">
        <f t="shared" si="2"/>
        <v>0.98099999999999998</v>
      </c>
      <c r="V11" s="26">
        <v>0.98099999999999998</v>
      </c>
      <c r="W11" s="28">
        <f t="shared" si="9"/>
        <v>0.98080000000000001</v>
      </c>
      <c r="X11" s="28">
        <f t="shared" si="3"/>
        <v>0.98060000000000003</v>
      </c>
      <c r="Y11" s="28">
        <f t="shared" si="3"/>
        <v>0.98039999999999994</v>
      </c>
      <c r="Z11" s="28">
        <f t="shared" si="3"/>
        <v>0.98019999999999996</v>
      </c>
      <c r="AA11" s="26">
        <v>0.98</v>
      </c>
      <c r="AB11" s="28">
        <f t="shared" si="10"/>
        <v>0.97860000000000003</v>
      </c>
      <c r="AC11" s="28">
        <f t="shared" si="4"/>
        <v>0.97719999999999996</v>
      </c>
      <c r="AD11" s="28">
        <f t="shared" si="4"/>
        <v>0.9758</v>
      </c>
      <c r="AE11" s="28">
        <f t="shared" si="4"/>
        <v>0.97439999999999993</v>
      </c>
      <c r="AF11" s="26">
        <v>0.97299999999999998</v>
      </c>
    </row>
    <row r="12" spans="1:32">
      <c r="A12" s="27">
        <f t="shared" si="5"/>
        <v>200</v>
      </c>
      <c r="B12" s="26">
        <v>0.98899999999999999</v>
      </c>
      <c r="C12" s="28">
        <f t="shared" si="6"/>
        <v>0.98809999999999998</v>
      </c>
      <c r="D12" s="28">
        <f t="shared" si="6"/>
        <v>0.98719999999999997</v>
      </c>
      <c r="E12" s="28">
        <f t="shared" si="1"/>
        <v>0.98629999999999995</v>
      </c>
      <c r="F12" s="28">
        <f t="shared" si="1"/>
        <v>0.98539999999999994</v>
      </c>
      <c r="G12" s="28">
        <f t="shared" si="1"/>
        <v>0.98449999999999993</v>
      </c>
      <c r="H12" s="28">
        <f t="shared" si="1"/>
        <v>0.98360000000000003</v>
      </c>
      <c r="I12" s="28">
        <f t="shared" si="1"/>
        <v>0.98270000000000002</v>
      </c>
      <c r="J12" s="28">
        <f t="shared" si="1"/>
        <v>0.98180000000000001</v>
      </c>
      <c r="K12" s="28">
        <f t="shared" si="1"/>
        <v>0.98089999999999999</v>
      </c>
      <c r="L12" s="26">
        <v>0.98</v>
      </c>
      <c r="M12" s="28">
        <f t="shared" si="7"/>
        <v>0.97899999999999998</v>
      </c>
      <c r="N12" s="28">
        <f t="shared" si="7"/>
        <v>0.97799999999999998</v>
      </c>
      <c r="O12" s="28">
        <f t="shared" si="7"/>
        <v>0.97699999999999998</v>
      </c>
      <c r="P12" s="28">
        <f t="shared" si="7"/>
        <v>0.97599999999999998</v>
      </c>
      <c r="Q12" s="26">
        <v>0.97499999999999998</v>
      </c>
      <c r="R12" s="28">
        <f t="shared" si="8"/>
        <v>0.9748</v>
      </c>
      <c r="S12" s="28">
        <f t="shared" si="2"/>
        <v>0.97460000000000002</v>
      </c>
      <c r="T12" s="28">
        <f t="shared" si="2"/>
        <v>0.97439999999999993</v>
      </c>
      <c r="U12" s="28">
        <f t="shared" si="2"/>
        <v>0.97419999999999995</v>
      </c>
      <c r="V12" s="26">
        <v>0.97399999999999998</v>
      </c>
      <c r="W12" s="28">
        <f t="shared" si="9"/>
        <v>0.97319999999999995</v>
      </c>
      <c r="X12" s="28">
        <f t="shared" si="3"/>
        <v>0.97239999999999993</v>
      </c>
      <c r="Y12" s="28">
        <f t="shared" si="3"/>
        <v>0.97160000000000002</v>
      </c>
      <c r="Z12" s="28">
        <f t="shared" si="3"/>
        <v>0.9708</v>
      </c>
      <c r="AA12" s="26">
        <v>0.97</v>
      </c>
      <c r="AB12" s="28">
        <f t="shared" si="10"/>
        <v>0.96819999999999995</v>
      </c>
      <c r="AC12" s="28">
        <f t="shared" si="4"/>
        <v>0.96639999999999993</v>
      </c>
      <c r="AD12" s="28">
        <f t="shared" si="4"/>
        <v>0.96460000000000001</v>
      </c>
      <c r="AE12" s="28">
        <f t="shared" si="4"/>
        <v>0.96279999999999999</v>
      </c>
      <c r="AF12" s="26">
        <v>0.96099999999999997</v>
      </c>
    </row>
    <row r="13" spans="1:32">
      <c r="A13" s="27">
        <f t="shared" si="5"/>
        <v>250</v>
      </c>
      <c r="B13" s="26">
        <v>0.98499999999999999</v>
      </c>
      <c r="C13" s="28">
        <f t="shared" si="6"/>
        <v>0.98399999999999999</v>
      </c>
      <c r="D13" s="28">
        <f t="shared" si="6"/>
        <v>0.98299999999999998</v>
      </c>
      <c r="E13" s="28">
        <f t="shared" si="1"/>
        <v>0.98199999999999998</v>
      </c>
      <c r="F13" s="28">
        <f t="shared" si="1"/>
        <v>0.98099999999999998</v>
      </c>
      <c r="G13" s="28">
        <f t="shared" si="1"/>
        <v>0.98</v>
      </c>
      <c r="H13" s="28">
        <f t="shared" si="1"/>
        <v>0.97899999999999998</v>
      </c>
      <c r="I13" s="28">
        <f t="shared" si="1"/>
        <v>0.97799999999999998</v>
      </c>
      <c r="J13" s="28">
        <f t="shared" si="1"/>
        <v>0.97699999999999998</v>
      </c>
      <c r="K13" s="28">
        <f t="shared" si="1"/>
        <v>0.97599999999999998</v>
      </c>
      <c r="L13" s="26">
        <v>0.97499999999999998</v>
      </c>
      <c r="M13" s="28">
        <f t="shared" si="7"/>
        <v>0.97399999999999998</v>
      </c>
      <c r="N13" s="28">
        <f t="shared" si="7"/>
        <v>0.97299999999999998</v>
      </c>
      <c r="O13" s="28">
        <f t="shared" si="7"/>
        <v>0.97199999999999998</v>
      </c>
      <c r="P13" s="28">
        <f t="shared" si="7"/>
        <v>0.97099999999999997</v>
      </c>
      <c r="Q13" s="26">
        <v>0.97</v>
      </c>
      <c r="R13" s="28">
        <f t="shared" si="8"/>
        <v>0.96899999999999997</v>
      </c>
      <c r="S13" s="28">
        <f t="shared" si="2"/>
        <v>0.96799999999999997</v>
      </c>
      <c r="T13" s="28">
        <f t="shared" si="2"/>
        <v>0.96699999999999997</v>
      </c>
      <c r="U13" s="28">
        <f t="shared" si="2"/>
        <v>0.96599999999999997</v>
      </c>
      <c r="V13" s="26">
        <v>0.96499999999999997</v>
      </c>
      <c r="W13" s="28">
        <f t="shared" si="9"/>
        <v>0.96399999999999997</v>
      </c>
      <c r="X13" s="28">
        <f t="shared" si="3"/>
        <v>0.96299999999999997</v>
      </c>
      <c r="Y13" s="28">
        <f t="shared" si="3"/>
        <v>0.96199999999999997</v>
      </c>
      <c r="Z13" s="28">
        <f t="shared" si="3"/>
        <v>0.96099999999999997</v>
      </c>
      <c r="AA13" s="26">
        <v>0.96</v>
      </c>
      <c r="AB13" s="28">
        <f t="shared" si="10"/>
        <v>0.95799999999999996</v>
      </c>
      <c r="AC13" s="28">
        <f t="shared" si="4"/>
        <v>0.95599999999999996</v>
      </c>
      <c r="AD13" s="28">
        <f t="shared" si="4"/>
        <v>0.95399999999999996</v>
      </c>
      <c r="AE13" s="28">
        <f t="shared" si="4"/>
        <v>0.95199999999999996</v>
      </c>
      <c r="AF13" s="26">
        <v>0.95</v>
      </c>
    </row>
    <row r="14" spans="1:32">
      <c r="A14" s="27">
        <f t="shared" si="5"/>
        <v>300</v>
      </c>
      <c r="B14" s="26">
        <v>0.98099999999999998</v>
      </c>
      <c r="C14" s="28">
        <f t="shared" si="6"/>
        <v>0.97989999999999999</v>
      </c>
      <c r="D14" s="28">
        <f t="shared" si="6"/>
        <v>0.9788</v>
      </c>
      <c r="E14" s="28">
        <f t="shared" si="1"/>
        <v>0.97770000000000001</v>
      </c>
      <c r="F14" s="28">
        <f t="shared" si="1"/>
        <v>0.97660000000000002</v>
      </c>
      <c r="G14" s="28">
        <f t="shared" si="1"/>
        <v>0.97550000000000003</v>
      </c>
      <c r="H14" s="28">
        <f t="shared" si="1"/>
        <v>0.97439999999999993</v>
      </c>
      <c r="I14" s="28">
        <f t="shared" si="1"/>
        <v>0.97329999999999994</v>
      </c>
      <c r="J14" s="28">
        <f t="shared" si="1"/>
        <v>0.97219999999999995</v>
      </c>
      <c r="K14" s="28">
        <f t="shared" si="1"/>
        <v>0.97109999999999996</v>
      </c>
      <c r="L14" s="26">
        <v>0.97</v>
      </c>
      <c r="M14" s="28">
        <f t="shared" si="7"/>
        <v>0.96879999999999999</v>
      </c>
      <c r="N14" s="28">
        <f t="shared" si="7"/>
        <v>0.96760000000000002</v>
      </c>
      <c r="O14" s="28">
        <f t="shared" si="7"/>
        <v>0.96639999999999993</v>
      </c>
      <c r="P14" s="28">
        <f t="shared" si="7"/>
        <v>0.96519999999999995</v>
      </c>
      <c r="Q14" s="26">
        <v>0.96399999999999997</v>
      </c>
      <c r="R14" s="28">
        <f t="shared" si="8"/>
        <v>0.96239999999999992</v>
      </c>
      <c r="S14" s="28">
        <f t="shared" si="2"/>
        <v>0.96079999999999999</v>
      </c>
      <c r="T14" s="28">
        <f t="shared" si="2"/>
        <v>0.95919999999999994</v>
      </c>
      <c r="U14" s="28">
        <f t="shared" si="2"/>
        <v>0.95760000000000001</v>
      </c>
      <c r="V14" s="26">
        <v>0.95599999999999996</v>
      </c>
      <c r="W14" s="28">
        <f t="shared" si="9"/>
        <v>0.95479999999999998</v>
      </c>
      <c r="X14" s="28">
        <f t="shared" si="3"/>
        <v>0.9536</v>
      </c>
      <c r="Y14" s="28">
        <f t="shared" si="3"/>
        <v>0.95239999999999991</v>
      </c>
      <c r="Z14" s="28">
        <f t="shared" si="3"/>
        <v>0.95119999999999993</v>
      </c>
      <c r="AA14" s="26">
        <v>0.95</v>
      </c>
      <c r="AB14" s="28">
        <f t="shared" si="10"/>
        <v>0.94799999999999995</v>
      </c>
      <c r="AC14" s="28">
        <f t="shared" si="4"/>
        <v>0.94599999999999995</v>
      </c>
      <c r="AD14" s="28">
        <f t="shared" si="4"/>
        <v>0.94399999999999995</v>
      </c>
      <c r="AE14" s="28">
        <f t="shared" si="4"/>
        <v>0.94199999999999995</v>
      </c>
      <c r="AF14" s="26">
        <v>0.94</v>
      </c>
    </row>
    <row r="15" spans="1:32">
      <c r="A15" s="27">
        <f t="shared" si="5"/>
        <v>350</v>
      </c>
      <c r="B15" s="26">
        <v>0.97899999999999998</v>
      </c>
      <c r="C15" s="28">
        <f t="shared" si="6"/>
        <v>0.97750000000000004</v>
      </c>
      <c r="D15" s="28">
        <f t="shared" si="6"/>
        <v>0.97599999999999998</v>
      </c>
      <c r="E15" s="28">
        <f t="shared" si="1"/>
        <v>0.97449999999999992</v>
      </c>
      <c r="F15" s="28">
        <f t="shared" si="1"/>
        <v>0.97299999999999998</v>
      </c>
      <c r="G15" s="28">
        <f t="shared" si="1"/>
        <v>0.97150000000000003</v>
      </c>
      <c r="H15" s="28">
        <f t="shared" si="1"/>
        <v>0.97</v>
      </c>
      <c r="I15" s="28">
        <f t="shared" si="1"/>
        <v>0.96849999999999992</v>
      </c>
      <c r="J15" s="28">
        <f t="shared" si="1"/>
        <v>0.96699999999999997</v>
      </c>
      <c r="K15" s="28">
        <f t="shared" si="1"/>
        <v>0.96550000000000002</v>
      </c>
      <c r="L15" s="26">
        <v>0.96399999999999997</v>
      </c>
      <c r="M15" s="28">
        <f t="shared" si="7"/>
        <v>0.96279999999999999</v>
      </c>
      <c r="N15" s="28">
        <f t="shared" si="7"/>
        <v>0.96160000000000001</v>
      </c>
      <c r="O15" s="28">
        <f t="shared" si="7"/>
        <v>0.96039999999999992</v>
      </c>
      <c r="P15" s="28">
        <f t="shared" si="7"/>
        <v>0.95919999999999994</v>
      </c>
      <c r="Q15" s="26">
        <v>0.95799999999999996</v>
      </c>
      <c r="R15" s="28">
        <f t="shared" si="8"/>
        <v>0.95639999999999992</v>
      </c>
      <c r="S15" s="28">
        <f t="shared" si="2"/>
        <v>0.95479999999999998</v>
      </c>
      <c r="T15" s="28">
        <f t="shared" si="2"/>
        <v>0.95319999999999994</v>
      </c>
      <c r="U15" s="28">
        <f t="shared" si="2"/>
        <v>0.9516</v>
      </c>
      <c r="V15" s="26">
        <v>0.95</v>
      </c>
      <c r="W15" s="28">
        <f t="shared" si="9"/>
        <v>0.94839999999999991</v>
      </c>
      <c r="X15" s="28">
        <f t="shared" si="3"/>
        <v>0.94679999999999997</v>
      </c>
      <c r="Y15" s="28">
        <f t="shared" si="3"/>
        <v>0.94519999999999993</v>
      </c>
      <c r="Z15" s="28">
        <f t="shared" si="3"/>
        <v>0.94359999999999999</v>
      </c>
      <c r="AA15" s="26">
        <v>0.94199999999999995</v>
      </c>
      <c r="AB15" s="28">
        <f t="shared" si="10"/>
        <v>0.93959999999999999</v>
      </c>
      <c r="AC15" s="28">
        <f t="shared" si="4"/>
        <v>0.93720000000000003</v>
      </c>
      <c r="AD15" s="28">
        <f t="shared" si="4"/>
        <v>0.93479999999999996</v>
      </c>
      <c r="AE15" s="28">
        <f t="shared" si="4"/>
        <v>0.93240000000000001</v>
      </c>
      <c r="AF15" s="26">
        <v>0.93</v>
      </c>
    </row>
    <row r="16" spans="1:32">
      <c r="A16" s="27">
        <f t="shared" si="5"/>
        <v>400</v>
      </c>
      <c r="B16" s="26">
        <v>0.97599999999999998</v>
      </c>
      <c r="C16" s="28">
        <f t="shared" si="6"/>
        <v>0.97439999999999993</v>
      </c>
      <c r="D16" s="28">
        <f t="shared" si="6"/>
        <v>0.9728</v>
      </c>
      <c r="E16" s="28">
        <f t="shared" si="1"/>
        <v>0.97119999999999995</v>
      </c>
      <c r="F16" s="28">
        <f t="shared" si="1"/>
        <v>0.96960000000000002</v>
      </c>
      <c r="G16" s="28">
        <f t="shared" si="1"/>
        <v>0.96799999999999997</v>
      </c>
      <c r="H16" s="28">
        <f t="shared" si="1"/>
        <v>0.96639999999999993</v>
      </c>
      <c r="I16" s="28">
        <f t="shared" si="1"/>
        <v>0.96479999999999999</v>
      </c>
      <c r="J16" s="28">
        <f t="shared" si="1"/>
        <v>0.96319999999999995</v>
      </c>
      <c r="K16" s="28">
        <f t="shared" si="1"/>
        <v>0.96160000000000001</v>
      </c>
      <c r="L16" s="26">
        <v>0.96</v>
      </c>
      <c r="M16" s="28">
        <f t="shared" si="7"/>
        <v>0.95839999999999992</v>
      </c>
      <c r="N16" s="28">
        <f t="shared" si="7"/>
        <v>0.95679999999999998</v>
      </c>
      <c r="O16" s="28">
        <f t="shared" si="7"/>
        <v>0.95519999999999994</v>
      </c>
      <c r="P16" s="28">
        <f t="shared" si="7"/>
        <v>0.9536</v>
      </c>
      <c r="Q16" s="26">
        <v>0.95199999999999996</v>
      </c>
      <c r="R16" s="28">
        <f t="shared" si="8"/>
        <v>0.95039999999999991</v>
      </c>
      <c r="S16" s="28">
        <f t="shared" si="2"/>
        <v>0.94879999999999998</v>
      </c>
      <c r="T16" s="28">
        <f t="shared" si="2"/>
        <v>0.94719999999999993</v>
      </c>
      <c r="U16" s="28">
        <f t="shared" si="2"/>
        <v>0.9456</v>
      </c>
      <c r="V16" s="26">
        <v>0.94399999999999995</v>
      </c>
      <c r="W16" s="28">
        <f t="shared" si="9"/>
        <v>0.94240000000000002</v>
      </c>
      <c r="X16" s="28">
        <f t="shared" si="3"/>
        <v>0.94079999999999997</v>
      </c>
      <c r="Y16" s="28">
        <f t="shared" si="3"/>
        <v>0.93920000000000003</v>
      </c>
      <c r="Z16" s="28">
        <f t="shared" si="3"/>
        <v>0.93759999999999999</v>
      </c>
      <c r="AA16" s="26">
        <v>0.93600000000000005</v>
      </c>
      <c r="AB16" s="28">
        <f t="shared" si="10"/>
        <v>0.93240000000000001</v>
      </c>
      <c r="AC16" s="28">
        <f t="shared" si="4"/>
        <v>0.92880000000000007</v>
      </c>
      <c r="AD16" s="28">
        <f t="shared" si="4"/>
        <v>0.92520000000000002</v>
      </c>
      <c r="AE16" s="28">
        <f t="shared" si="4"/>
        <v>0.92160000000000009</v>
      </c>
      <c r="AF16" s="26">
        <v>0.91800000000000004</v>
      </c>
    </row>
    <row r="17" spans="1:32">
      <c r="A17" s="27">
        <f t="shared" si="5"/>
        <v>450</v>
      </c>
      <c r="B17" s="26">
        <v>0.97199999999999998</v>
      </c>
      <c r="C17" s="28">
        <f t="shared" si="6"/>
        <v>0.97029999999999994</v>
      </c>
      <c r="D17" s="28">
        <f t="shared" si="6"/>
        <v>0.96860000000000002</v>
      </c>
      <c r="E17" s="28">
        <f t="shared" si="1"/>
        <v>0.96689999999999998</v>
      </c>
      <c r="F17" s="28">
        <f t="shared" si="1"/>
        <v>0.96519999999999995</v>
      </c>
      <c r="G17" s="28">
        <f t="shared" si="1"/>
        <v>0.96350000000000002</v>
      </c>
      <c r="H17" s="28">
        <f t="shared" si="1"/>
        <v>0.96179999999999999</v>
      </c>
      <c r="I17" s="28">
        <f t="shared" si="1"/>
        <v>0.96009999999999995</v>
      </c>
      <c r="J17" s="28">
        <f t="shared" si="1"/>
        <v>0.95839999999999992</v>
      </c>
      <c r="K17" s="28">
        <f t="shared" si="1"/>
        <v>0.95669999999999999</v>
      </c>
      <c r="L17" s="26">
        <v>0.95499999999999996</v>
      </c>
      <c r="M17" s="28">
        <f t="shared" si="7"/>
        <v>0.95339999999999991</v>
      </c>
      <c r="N17" s="28">
        <f t="shared" si="7"/>
        <v>0.95179999999999998</v>
      </c>
      <c r="O17" s="28">
        <f t="shared" si="7"/>
        <v>0.95019999999999993</v>
      </c>
      <c r="P17" s="28">
        <f t="shared" si="7"/>
        <v>0.9486</v>
      </c>
      <c r="Q17" s="26">
        <v>0.94699999999999995</v>
      </c>
      <c r="R17" s="28">
        <f t="shared" si="8"/>
        <v>0.94499999999999995</v>
      </c>
      <c r="S17" s="28">
        <f t="shared" si="2"/>
        <v>0.94299999999999995</v>
      </c>
      <c r="T17" s="28">
        <f t="shared" si="2"/>
        <v>0.94100000000000006</v>
      </c>
      <c r="U17" s="28">
        <f t="shared" si="2"/>
        <v>0.93900000000000006</v>
      </c>
      <c r="V17" s="26">
        <v>0.93700000000000006</v>
      </c>
      <c r="W17" s="28">
        <f t="shared" si="9"/>
        <v>0.93500000000000005</v>
      </c>
      <c r="X17" s="28">
        <f t="shared" si="3"/>
        <v>0.93300000000000005</v>
      </c>
      <c r="Y17" s="28">
        <f t="shared" si="3"/>
        <v>0.93100000000000005</v>
      </c>
      <c r="Z17" s="28">
        <f t="shared" si="3"/>
        <v>0.92900000000000005</v>
      </c>
      <c r="AA17" s="26">
        <v>0.92700000000000005</v>
      </c>
      <c r="AB17" s="28">
        <f t="shared" si="10"/>
        <v>0.92260000000000009</v>
      </c>
      <c r="AC17" s="28">
        <f t="shared" si="4"/>
        <v>0.91820000000000002</v>
      </c>
      <c r="AD17" s="28">
        <f t="shared" si="4"/>
        <v>0.91380000000000006</v>
      </c>
      <c r="AE17" s="28">
        <f t="shared" si="4"/>
        <v>0.90939999999999999</v>
      </c>
      <c r="AF17" s="26">
        <v>0.90500000000000003</v>
      </c>
    </row>
    <row r="18" spans="1:32">
      <c r="A18" s="27">
        <f t="shared" si="5"/>
        <v>500</v>
      </c>
      <c r="B18" s="26">
        <v>0.96899999999999997</v>
      </c>
      <c r="C18" s="28">
        <f t="shared" si="6"/>
        <v>0.96719999999999995</v>
      </c>
      <c r="D18" s="28">
        <f t="shared" si="6"/>
        <v>0.96539999999999992</v>
      </c>
      <c r="E18" s="28">
        <f t="shared" si="1"/>
        <v>0.96360000000000001</v>
      </c>
      <c r="F18" s="28">
        <f t="shared" si="1"/>
        <v>0.96179999999999999</v>
      </c>
      <c r="G18" s="28">
        <f t="shared" si="1"/>
        <v>0.96</v>
      </c>
      <c r="H18" s="28">
        <f t="shared" si="1"/>
        <v>0.95819999999999994</v>
      </c>
      <c r="I18" s="28">
        <f t="shared" si="1"/>
        <v>0.95639999999999992</v>
      </c>
      <c r="J18" s="28">
        <f t="shared" si="1"/>
        <v>0.9546</v>
      </c>
      <c r="K18" s="28">
        <f t="shared" si="1"/>
        <v>0.95279999999999998</v>
      </c>
      <c r="L18" s="26">
        <v>0.95099999999999996</v>
      </c>
      <c r="M18" s="28">
        <f t="shared" si="7"/>
        <v>0.94879999999999998</v>
      </c>
      <c r="N18" s="28">
        <f t="shared" si="7"/>
        <v>0.9466</v>
      </c>
      <c r="O18" s="28">
        <f t="shared" si="7"/>
        <v>0.94439999999999991</v>
      </c>
      <c r="P18" s="28">
        <f t="shared" si="7"/>
        <v>0.94219999999999993</v>
      </c>
      <c r="Q18" s="26">
        <v>0.94</v>
      </c>
      <c r="R18" s="28">
        <f t="shared" si="8"/>
        <v>0.93819999999999992</v>
      </c>
      <c r="S18" s="28">
        <f t="shared" si="2"/>
        <v>0.93640000000000001</v>
      </c>
      <c r="T18" s="28">
        <f t="shared" si="2"/>
        <v>0.93459999999999999</v>
      </c>
      <c r="U18" s="28">
        <f t="shared" si="2"/>
        <v>0.93280000000000007</v>
      </c>
      <c r="V18" s="26">
        <v>0.93100000000000005</v>
      </c>
      <c r="W18" s="28">
        <f t="shared" si="9"/>
        <v>0.92860000000000009</v>
      </c>
      <c r="X18" s="28">
        <f t="shared" si="3"/>
        <v>0.92620000000000002</v>
      </c>
      <c r="Y18" s="28">
        <f t="shared" si="3"/>
        <v>0.92380000000000007</v>
      </c>
      <c r="Z18" s="28">
        <f t="shared" si="3"/>
        <v>0.9214</v>
      </c>
      <c r="AA18" s="26">
        <v>0.91900000000000004</v>
      </c>
      <c r="AB18" s="28">
        <f t="shared" si="10"/>
        <v>0.91439999999999999</v>
      </c>
      <c r="AC18" s="28">
        <f t="shared" si="4"/>
        <v>0.90980000000000005</v>
      </c>
      <c r="AD18" s="28">
        <f t="shared" si="4"/>
        <v>0.9052</v>
      </c>
      <c r="AE18" s="28">
        <f t="shared" si="4"/>
        <v>0.90060000000000007</v>
      </c>
      <c r="AF18" s="26">
        <v>0.89600000000000002</v>
      </c>
    </row>
    <row r="19" spans="1:32">
      <c r="A19" s="27">
        <f t="shared" si="5"/>
        <v>550</v>
      </c>
      <c r="B19" s="26">
        <v>0.96699999999999997</v>
      </c>
      <c r="C19" s="28">
        <f t="shared" si="6"/>
        <v>0.96489999999999998</v>
      </c>
      <c r="D19" s="28">
        <f t="shared" si="6"/>
        <v>0.96279999999999999</v>
      </c>
      <c r="E19" s="28">
        <f t="shared" si="1"/>
        <v>0.9607</v>
      </c>
      <c r="F19" s="28">
        <f t="shared" si="1"/>
        <v>0.95860000000000001</v>
      </c>
      <c r="G19" s="28">
        <f t="shared" si="1"/>
        <v>0.95649999999999991</v>
      </c>
      <c r="H19" s="28">
        <f t="shared" si="1"/>
        <v>0.95439999999999992</v>
      </c>
      <c r="I19" s="28">
        <f t="shared" si="1"/>
        <v>0.95229999999999992</v>
      </c>
      <c r="J19" s="28">
        <f t="shared" si="1"/>
        <v>0.95019999999999993</v>
      </c>
      <c r="K19" s="28">
        <f t="shared" si="1"/>
        <v>0.94809999999999994</v>
      </c>
      <c r="L19" s="26">
        <v>0.94599999999999995</v>
      </c>
      <c r="M19" s="28">
        <f t="shared" si="7"/>
        <v>0.94419999999999993</v>
      </c>
      <c r="N19" s="28">
        <f t="shared" si="7"/>
        <v>0.94240000000000002</v>
      </c>
      <c r="O19" s="28">
        <f t="shared" si="7"/>
        <v>0.94059999999999999</v>
      </c>
      <c r="P19" s="28">
        <f t="shared" si="7"/>
        <v>0.93880000000000008</v>
      </c>
      <c r="Q19" s="26">
        <v>0.93700000000000006</v>
      </c>
      <c r="R19" s="28">
        <f t="shared" si="8"/>
        <v>0.93440000000000001</v>
      </c>
      <c r="S19" s="28">
        <f t="shared" si="2"/>
        <v>0.93180000000000007</v>
      </c>
      <c r="T19" s="28">
        <f t="shared" si="2"/>
        <v>0.92920000000000003</v>
      </c>
      <c r="U19" s="28">
        <f t="shared" si="2"/>
        <v>0.92660000000000009</v>
      </c>
      <c r="V19" s="26">
        <v>0.92400000000000004</v>
      </c>
      <c r="W19" s="28">
        <f t="shared" si="9"/>
        <v>0.92080000000000006</v>
      </c>
      <c r="X19" s="28">
        <f t="shared" si="3"/>
        <v>0.91760000000000008</v>
      </c>
      <c r="Y19" s="28">
        <f t="shared" si="3"/>
        <v>0.91439999999999999</v>
      </c>
      <c r="Z19" s="28">
        <f t="shared" si="3"/>
        <v>0.91120000000000001</v>
      </c>
      <c r="AA19" s="26">
        <v>0.90800000000000003</v>
      </c>
      <c r="AB19" s="28">
        <f t="shared" si="10"/>
        <v>0.90400000000000003</v>
      </c>
      <c r="AC19" s="28">
        <f t="shared" si="4"/>
        <v>0.9</v>
      </c>
      <c r="AD19" s="28">
        <f t="shared" si="4"/>
        <v>0.89600000000000002</v>
      </c>
      <c r="AE19" s="28">
        <f t="shared" si="4"/>
        <v>0.89200000000000002</v>
      </c>
      <c r="AF19" s="26">
        <v>0.88800000000000001</v>
      </c>
    </row>
    <row r="20" spans="1:32">
      <c r="A20" s="27">
        <f t="shared" si="5"/>
        <v>600</v>
      </c>
      <c r="B20" s="26">
        <v>0.96299999999999997</v>
      </c>
      <c r="C20" s="28">
        <f t="shared" si="6"/>
        <v>0.96079999999999999</v>
      </c>
      <c r="D20" s="28">
        <f t="shared" si="6"/>
        <v>0.95860000000000001</v>
      </c>
      <c r="E20" s="28">
        <f t="shared" si="1"/>
        <v>0.95639999999999992</v>
      </c>
      <c r="F20" s="28">
        <f t="shared" si="1"/>
        <v>0.95419999999999994</v>
      </c>
      <c r="G20" s="28">
        <f t="shared" si="1"/>
        <v>0.95199999999999996</v>
      </c>
      <c r="H20" s="28">
        <f t="shared" si="1"/>
        <v>0.94979999999999998</v>
      </c>
      <c r="I20" s="28">
        <f t="shared" si="1"/>
        <v>0.9476</v>
      </c>
      <c r="J20" s="28">
        <f t="shared" si="1"/>
        <v>0.94539999999999991</v>
      </c>
      <c r="K20" s="28">
        <f t="shared" si="1"/>
        <v>0.94319999999999993</v>
      </c>
      <c r="L20" s="26">
        <v>0.94099999999999995</v>
      </c>
      <c r="M20" s="28">
        <f t="shared" si="7"/>
        <v>0.93899999999999995</v>
      </c>
      <c r="N20" s="28">
        <f t="shared" si="7"/>
        <v>0.93699999999999994</v>
      </c>
      <c r="O20" s="28">
        <f t="shared" si="7"/>
        <v>0.93500000000000005</v>
      </c>
      <c r="P20" s="28">
        <f t="shared" si="7"/>
        <v>0.93300000000000005</v>
      </c>
      <c r="Q20" s="26">
        <v>0.93100000000000005</v>
      </c>
      <c r="R20" s="28">
        <f t="shared" si="8"/>
        <v>0.92780000000000007</v>
      </c>
      <c r="S20" s="28">
        <f t="shared" si="2"/>
        <v>0.92460000000000009</v>
      </c>
      <c r="T20" s="28">
        <f t="shared" si="2"/>
        <v>0.9214</v>
      </c>
      <c r="U20" s="28">
        <f t="shared" si="2"/>
        <v>0.91820000000000002</v>
      </c>
      <c r="V20" s="26">
        <v>0.91500000000000004</v>
      </c>
      <c r="W20" s="28">
        <f t="shared" si="9"/>
        <v>0.91200000000000003</v>
      </c>
      <c r="X20" s="28">
        <f t="shared" si="3"/>
        <v>0.90900000000000003</v>
      </c>
      <c r="Y20" s="28">
        <f t="shared" si="3"/>
        <v>0.90600000000000003</v>
      </c>
      <c r="Z20" s="28">
        <f t="shared" si="3"/>
        <v>0.90300000000000002</v>
      </c>
      <c r="AA20" s="26">
        <v>0.9</v>
      </c>
      <c r="AB20" s="28">
        <f t="shared" si="10"/>
        <v>0.89600000000000002</v>
      </c>
      <c r="AC20" s="28">
        <f t="shared" si="4"/>
        <v>0.89200000000000002</v>
      </c>
      <c r="AD20" s="28">
        <f t="shared" si="4"/>
        <v>0.88800000000000001</v>
      </c>
      <c r="AE20" s="28">
        <f t="shared" si="4"/>
        <v>0.88400000000000001</v>
      </c>
      <c r="AF20" s="26">
        <v>0.88</v>
      </c>
    </row>
    <row r="21" spans="1:32">
      <c r="A21" s="27">
        <f t="shared" si="5"/>
        <v>650</v>
      </c>
      <c r="B21" s="26">
        <v>0.96</v>
      </c>
      <c r="C21" s="28">
        <f t="shared" si="6"/>
        <v>0.9577</v>
      </c>
      <c r="D21" s="28">
        <f t="shared" si="6"/>
        <v>0.95540000000000003</v>
      </c>
      <c r="E21" s="28">
        <f t="shared" si="1"/>
        <v>0.95309999999999995</v>
      </c>
      <c r="F21" s="28">
        <f t="shared" si="1"/>
        <v>0.95079999999999998</v>
      </c>
      <c r="G21" s="28">
        <f t="shared" si="1"/>
        <v>0.94850000000000001</v>
      </c>
      <c r="H21" s="28">
        <f t="shared" si="1"/>
        <v>0.94620000000000004</v>
      </c>
      <c r="I21" s="28">
        <f t="shared" si="1"/>
        <v>0.94390000000000007</v>
      </c>
      <c r="J21" s="28">
        <f t="shared" si="1"/>
        <v>0.94159999999999999</v>
      </c>
      <c r="K21" s="28">
        <f t="shared" si="1"/>
        <v>0.93930000000000002</v>
      </c>
      <c r="L21" s="26">
        <v>0.93700000000000006</v>
      </c>
      <c r="M21" s="28">
        <f t="shared" si="7"/>
        <v>0.93480000000000008</v>
      </c>
      <c r="N21" s="28">
        <f t="shared" si="7"/>
        <v>0.9326000000000001</v>
      </c>
      <c r="O21" s="28">
        <f t="shared" si="7"/>
        <v>0.9304</v>
      </c>
      <c r="P21" s="28">
        <f t="shared" si="7"/>
        <v>0.92820000000000003</v>
      </c>
      <c r="Q21" s="26">
        <v>0.92600000000000005</v>
      </c>
      <c r="R21" s="28">
        <f t="shared" si="8"/>
        <v>0.92200000000000004</v>
      </c>
      <c r="S21" s="28">
        <f t="shared" si="2"/>
        <v>0.91800000000000004</v>
      </c>
      <c r="T21" s="28">
        <f t="shared" si="2"/>
        <v>0.91400000000000003</v>
      </c>
      <c r="U21" s="28">
        <f t="shared" si="2"/>
        <v>0.91</v>
      </c>
      <c r="V21" s="26">
        <v>0.90600000000000003</v>
      </c>
      <c r="W21" s="28">
        <f t="shared" si="9"/>
        <v>0.9032</v>
      </c>
      <c r="X21" s="28">
        <f t="shared" si="3"/>
        <v>0.90039999999999998</v>
      </c>
      <c r="Y21" s="28">
        <f t="shared" si="3"/>
        <v>0.89760000000000006</v>
      </c>
      <c r="Z21" s="28">
        <f t="shared" si="3"/>
        <v>0.89480000000000004</v>
      </c>
      <c r="AA21" s="26">
        <v>0.89200000000000002</v>
      </c>
      <c r="AB21" s="28">
        <f t="shared" si="10"/>
        <v>0.88700000000000001</v>
      </c>
      <c r="AC21" s="28">
        <f t="shared" si="4"/>
        <v>0.88200000000000001</v>
      </c>
      <c r="AD21" s="28">
        <f t="shared" si="4"/>
        <v>0.877</v>
      </c>
      <c r="AE21" s="28">
        <f t="shared" si="4"/>
        <v>0.872</v>
      </c>
      <c r="AF21" s="26">
        <v>0.86699999999999999</v>
      </c>
    </row>
    <row r="22" spans="1:32">
      <c r="A22" s="27">
        <f t="shared" si="5"/>
        <v>700</v>
      </c>
      <c r="B22" s="26">
        <v>0.95499999999999996</v>
      </c>
      <c r="C22" s="28">
        <f t="shared" si="6"/>
        <v>0.95269999999999999</v>
      </c>
      <c r="D22" s="28">
        <f t="shared" si="6"/>
        <v>0.95040000000000002</v>
      </c>
      <c r="E22" s="28">
        <f t="shared" si="1"/>
        <v>0.94809999999999994</v>
      </c>
      <c r="F22" s="28">
        <f t="shared" si="1"/>
        <v>0.94579999999999997</v>
      </c>
      <c r="G22" s="28">
        <f t="shared" si="1"/>
        <v>0.94350000000000001</v>
      </c>
      <c r="H22" s="28">
        <f t="shared" si="1"/>
        <v>0.94120000000000004</v>
      </c>
      <c r="I22" s="28">
        <f t="shared" si="1"/>
        <v>0.93890000000000007</v>
      </c>
      <c r="J22" s="28">
        <f t="shared" si="1"/>
        <v>0.93659999999999999</v>
      </c>
      <c r="K22" s="28">
        <f t="shared" si="1"/>
        <v>0.93430000000000002</v>
      </c>
      <c r="L22" s="26">
        <v>0.93200000000000005</v>
      </c>
      <c r="M22" s="28">
        <f t="shared" si="7"/>
        <v>0.92960000000000009</v>
      </c>
      <c r="N22" s="28">
        <f t="shared" si="7"/>
        <v>0.92720000000000002</v>
      </c>
      <c r="O22" s="28">
        <f t="shared" si="7"/>
        <v>0.92480000000000007</v>
      </c>
      <c r="P22" s="28">
        <f t="shared" si="7"/>
        <v>0.9224</v>
      </c>
      <c r="Q22" s="26">
        <v>0.92</v>
      </c>
      <c r="R22" s="28">
        <f t="shared" si="8"/>
        <v>0.91580000000000006</v>
      </c>
      <c r="S22" s="28">
        <f t="shared" si="2"/>
        <v>0.91160000000000008</v>
      </c>
      <c r="T22" s="28">
        <f t="shared" si="2"/>
        <v>0.90739999999999998</v>
      </c>
      <c r="U22" s="28">
        <f t="shared" si="2"/>
        <v>0.9032</v>
      </c>
      <c r="V22" s="26">
        <v>0.89900000000000002</v>
      </c>
      <c r="W22" s="28">
        <f t="shared" si="9"/>
        <v>0.89600000000000002</v>
      </c>
      <c r="X22" s="28">
        <f t="shared" si="3"/>
        <v>0.89300000000000002</v>
      </c>
      <c r="Y22" s="28">
        <f t="shared" si="3"/>
        <v>0.89</v>
      </c>
      <c r="Z22" s="28">
        <f t="shared" si="3"/>
        <v>0.88700000000000001</v>
      </c>
      <c r="AA22" s="26">
        <v>0.88400000000000001</v>
      </c>
      <c r="AB22" s="28">
        <f t="shared" si="10"/>
        <v>0.87860000000000005</v>
      </c>
      <c r="AC22" s="28">
        <f t="shared" si="4"/>
        <v>0.87319999999999998</v>
      </c>
      <c r="AD22" s="28">
        <f t="shared" si="4"/>
        <v>0.86780000000000002</v>
      </c>
      <c r="AE22" s="28">
        <f t="shared" si="4"/>
        <v>0.86239999999999994</v>
      </c>
      <c r="AF22" s="26">
        <v>0.85699999999999998</v>
      </c>
    </row>
    <row r="23" spans="1:32">
      <c r="A23" s="27">
        <f t="shared" si="5"/>
        <v>750</v>
      </c>
      <c r="B23" s="26">
        <v>0.95199999999999996</v>
      </c>
      <c r="C23" s="28">
        <f t="shared" si="6"/>
        <v>0.9496</v>
      </c>
      <c r="D23" s="28">
        <f t="shared" si="6"/>
        <v>0.94719999999999993</v>
      </c>
      <c r="E23" s="28">
        <f t="shared" si="1"/>
        <v>0.94479999999999997</v>
      </c>
      <c r="F23" s="28">
        <f t="shared" si="1"/>
        <v>0.94240000000000002</v>
      </c>
      <c r="G23" s="28">
        <f t="shared" si="1"/>
        <v>0.94</v>
      </c>
      <c r="H23" s="28">
        <f t="shared" si="1"/>
        <v>0.93759999999999999</v>
      </c>
      <c r="I23" s="28">
        <f t="shared" si="1"/>
        <v>0.93520000000000003</v>
      </c>
      <c r="J23" s="28">
        <f t="shared" si="1"/>
        <v>0.93280000000000007</v>
      </c>
      <c r="K23" s="28">
        <f t="shared" si="1"/>
        <v>0.9304</v>
      </c>
      <c r="L23" s="26">
        <v>0.92800000000000005</v>
      </c>
      <c r="M23" s="28">
        <f t="shared" si="7"/>
        <v>0.92460000000000009</v>
      </c>
      <c r="N23" s="28">
        <f t="shared" si="7"/>
        <v>0.92120000000000002</v>
      </c>
      <c r="O23" s="28">
        <f t="shared" si="7"/>
        <v>0.91780000000000006</v>
      </c>
      <c r="P23" s="28">
        <f t="shared" si="7"/>
        <v>0.91439999999999999</v>
      </c>
      <c r="Q23" s="26">
        <v>0.91100000000000003</v>
      </c>
      <c r="R23" s="28">
        <f t="shared" si="8"/>
        <v>0.90720000000000001</v>
      </c>
      <c r="S23" s="28">
        <f t="shared" si="2"/>
        <v>0.90339999999999998</v>
      </c>
      <c r="T23" s="28">
        <f t="shared" si="2"/>
        <v>0.89960000000000007</v>
      </c>
      <c r="U23" s="28">
        <f t="shared" si="2"/>
        <v>0.89580000000000004</v>
      </c>
      <c r="V23" s="26">
        <v>0.89200000000000002</v>
      </c>
      <c r="W23" s="28">
        <f t="shared" si="9"/>
        <v>0.88880000000000003</v>
      </c>
      <c r="X23" s="28">
        <f t="shared" si="3"/>
        <v>0.88560000000000005</v>
      </c>
      <c r="Y23" s="28">
        <f t="shared" si="3"/>
        <v>0.88239999999999996</v>
      </c>
      <c r="Z23" s="28">
        <f t="shared" si="3"/>
        <v>0.87919999999999998</v>
      </c>
      <c r="AA23" s="26">
        <v>0.876</v>
      </c>
      <c r="AB23" s="28">
        <f t="shared" si="10"/>
        <v>0.87039999999999995</v>
      </c>
      <c r="AC23" s="28">
        <f t="shared" si="4"/>
        <v>0.86480000000000001</v>
      </c>
      <c r="AD23" s="28">
        <f t="shared" si="4"/>
        <v>0.85919999999999996</v>
      </c>
      <c r="AE23" s="28">
        <f t="shared" si="4"/>
        <v>0.85360000000000003</v>
      </c>
      <c r="AF23" s="26">
        <v>0.84799999999999998</v>
      </c>
    </row>
    <row r="24" spans="1:32">
      <c r="A24" s="27">
        <f t="shared" si="5"/>
        <v>800</v>
      </c>
      <c r="B24" s="26">
        <v>0.95</v>
      </c>
      <c r="C24" s="28">
        <f t="shared" si="6"/>
        <v>0.9476</v>
      </c>
      <c r="D24" s="28">
        <f t="shared" si="6"/>
        <v>0.94519999999999993</v>
      </c>
      <c r="E24" s="28">
        <f t="shared" si="1"/>
        <v>0.94279999999999997</v>
      </c>
      <c r="F24" s="28">
        <f t="shared" si="1"/>
        <v>0.94040000000000001</v>
      </c>
      <c r="G24" s="28">
        <f t="shared" si="1"/>
        <v>0.93799999999999994</v>
      </c>
      <c r="H24" s="28">
        <f t="shared" si="1"/>
        <v>0.93559999999999999</v>
      </c>
      <c r="I24" s="28">
        <f t="shared" si="1"/>
        <v>0.93320000000000003</v>
      </c>
      <c r="J24" s="28">
        <f t="shared" si="1"/>
        <v>0.93080000000000007</v>
      </c>
      <c r="K24" s="28">
        <f t="shared" si="1"/>
        <v>0.9284</v>
      </c>
      <c r="L24" s="26">
        <v>0.92600000000000005</v>
      </c>
      <c r="M24" s="28">
        <f t="shared" si="7"/>
        <v>0.92180000000000006</v>
      </c>
      <c r="N24" s="28">
        <f t="shared" si="7"/>
        <v>0.91760000000000008</v>
      </c>
      <c r="O24" s="28">
        <f t="shared" si="7"/>
        <v>0.91339999999999999</v>
      </c>
      <c r="P24" s="28">
        <f t="shared" si="7"/>
        <v>0.90920000000000001</v>
      </c>
      <c r="Q24" s="26">
        <v>0.90500000000000003</v>
      </c>
      <c r="R24" s="28">
        <f t="shared" si="8"/>
        <v>0.90139999999999998</v>
      </c>
      <c r="S24" s="28">
        <f t="shared" si="2"/>
        <v>0.89780000000000004</v>
      </c>
      <c r="T24" s="28">
        <f t="shared" si="2"/>
        <v>0.89419999999999999</v>
      </c>
      <c r="U24" s="28">
        <f t="shared" si="2"/>
        <v>0.89060000000000006</v>
      </c>
      <c r="V24" s="26">
        <v>0.88700000000000001</v>
      </c>
      <c r="W24" s="28">
        <f t="shared" si="9"/>
        <v>0.88360000000000005</v>
      </c>
      <c r="X24" s="28">
        <f t="shared" si="3"/>
        <v>0.88019999999999998</v>
      </c>
      <c r="Y24" s="28">
        <f t="shared" si="3"/>
        <v>0.87680000000000002</v>
      </c>
      <c r="Z24" s="28">
        <f t="shared" si="3"/>
        <v>0.87339999999999995</v>
      </c>
      <c r="AA24" s="26">
        <v>0.87</v>
      </c>
      <c r="AB24" s="28">
        <f t="shared" si="10"/>
        <v>0.86399999999999999</v>
      </c>
      <c r="AC24" s="28">
        <f t="shared" si="4"/>
        <v>0.85799999999999998</v>
      </c>
      <c r="AD24" s="28">
        <f t="shared" si="4"/>
        <v>0.85199999999999998</v>
      </c>
      <c r="AE24" s="28">
        <f t="shared" si="4"/>
        <v>0.84599999999999997</v>
      </c>
      <c r="AF24" s="26">
        <v>0.84</v>
      </c>
    </row>
    <row r="25" spans="1:32">
      <c r="A25" s="27">
        <f t="shared" si="5"/>
        <v>850</v>
      </c>
      <c r="B25" s="26">
        <v>0.94799999999999995</v>
      </c>
      <c r="C25" s="28">
        <f t="shared" si="6"/>
        <v>0.94519999999999993</v>
      </c>
      <c r="D25" s="28">
        <f t="shared" si="6"/>
        <v>0.94240000000000002</v>
      </c>
      <c r="E25" s="28">
        <f t="shared" si="6"/>
        <v>0.93959999999999999</v>
      </c>
      <c r="F25" s="28">
        <f t="shared" si="6"/>
        <v>0.93679999999999997</v>
      </c>
      <c r="G25" s="28">
        <f t="shared" si="6"/>
        <v>0.93399999999999994</v>
      </c>
      <c r="H25" s="28">
        <f t="shared" si="6"/>
        <v>0.93120000000000003</v>
      </c>
      <c r="I25" s="28">
        <f t="shared" si="6"/>
        <v>0.9284</v>
      </c>
      <c r="J25" s="28">
        <f t="shared" si="6"/>
        <v>0.92559999999999998</v>
      </c>
      <c r="K25" s="28">
        <f t="shared" si="6"/>
        <v>0.92280000000000006</v>
      </c>
      <c r="L25" s="26">
        <v>0.92</v>
      </c>
      <c r="M25" s="28">
        <f t="shared" si="7"/>
        <v>0.91620000000000001</v>
      </c>
      <c r="N25" s="28">
        <f t="shared" si="7"/>
        <v>0.91239999999999999</v>
      </c>
      <c r="O25" s="28">
        <f t="shared" si="7"/>
        <v>0.90860000000000007</v>
      </c>
      <c r="P25" s="28">
        <f t="shared" si="7"/>
        <v>0.90480000000000005</v>
      </c>
      <c r="Q25" s="26">
        <v>0.90100000000000002</v>
      </c>
      <c r="R25" s="28">
        <f t="shared" si="8"/>
        <v>0.8972</v>
      </c>
      <c r="S25" s="28">
        <f t="shared" si="8"/>
        <v>0.89339999999999997</v>
      </c>
      <c r="T25" s="28">
        <f t="shared" si="8"/>
        <v>0.88960000000000006</v>
      </c>
      <c r="U25" s="28">
        <f t="shared" si="8"/>
        <v>0.88580000000000003</v>
      </c>
      <c r="V25" s="26">
        <v>0.88200000000000001</v>
      </c>
      <c r="W25" s="28">
        <f t="shared" si="9"/>
        <v>0.87780000000000002</v>
      </c>
      <c r="X25" s="28">
        <f t="shared" si="9"/>
        <v>0.87360000000000004</v>
      </c>
      <c r="Y25" s="28">
        <f t="shared" si="9"/>
        <v>0.86939999999999995</v>
      </c>
      <c r="Z25" s="28">
        <f t="shared" si="9"/>
        <v>0.86519999999999997</v>
      </c>
      <c r="AA25" s="26">
        <v>0.86099999999999999</v>
      </c>
      <c r="AB25" s="28">
        <f t="shared" si="10"/>
        <v>0.85499999999999998</v>
      </c>
      <c r="AC25" s="28">
        <f t="shared" si="10"/>
        <v>0.84899999999999998</v>
      </c>
      <c r="AD25" s="28">
        <f t="shared" si="10"/>
        <v>0.84299999999999997</v>
      </c>
      <c r="AE25" s="28">
        <f t="shared" si="10"/>
        <v>0.83699999999999997</v>
      </c>
      <c r="AF25" s="26">
        <v>0.83099999999999996</v>
      </c>
    </row>
    <row r="26" spans="1:32">
      <c r="A26" s="27">
        <f t="shared" si="5"/>
        <v>900</v>
      </c>
      <c r="B26" s="26">
        <v>0.94399999999999995</v>
      </c>
      <c r="C26" s="28">
        <f t="shared" si="6"/>
        <v>0.94099999999999995</v>
      </c>
      <c r="D26" s="28">
        <f t="shared" si="6"/>
        <v>0.93799999999999994</v>
      </c>
      <c r="E26" s="28">
        <f t="shared" si="6"/>
        <v>0.93499999999999994</v>
      </c>
      <c r="F26" s="28">
        <f t="shared" si="6"/>
        <v>0.93199999999999994</v>
      </c>
      <c r="G26" s="28">
        <f t="shared" si="6"/>
        <v>0.92900000000000005</v>
      </c>
      <c r="H26" s="28">
        <f t="shared" si="6"/>
        <v>0.92600000000000005</v>
      </c>
      <c r="I26" s="28">
        <f t="shared" si="6"/>
        <v>0.92300000000000004</v>
      </c>
      <c r="J26" s="28">
        <f t="shared" si="6"/>
        <v>0.92</v>
      </c>
      <c r="K26" s="28">
        <f t="shared" si="6"/>
        <v>0.91700000000000004</v>
      </c>
      <c r="L26" s="26">
        <v>0.91400000000000003</v>
      </c>
      <c r="M26" s="28">
        <f t="shared" si="7"/>
        <v>0.91060000000000008</v>
      </c>
      <c r="N26" s="28">
        <f t="shared" si="7"/>
        <v>0.90720000000000001</v>
      </c>
      <c r="O26" s="28">
        <f t="shared" si="7"/>
        <v>0.90380000000000005</v>
      </c>
      <c r="P26" s="28">
        <f t="shared" si="7"/>
        <v>0.90039999999999998</v>
      </c>
      <c r="Q26" s="26">
        <v>0.89700000000000002</v>
      </c>
      <c r="R26" s="28">
        <f t="shared" si="8"/>
        <v>0.89280000000000004</v>
      </c>
      <c r="S26" s="28">
        <f t="shared" si="8"/>
        <v>0.88860000000000006</v>
      </c>
      <c r="T26" s="28">
        <f t="shared" si="8"/>
        <v>0.88439999999999996</v>
      </c>
      <c r="U26" s="28">
        <f t="shared" si="8"/>
        <v>0.88019999999999998</v>
      </c>
      <c r="V26" s="26">
        <v>0.876</v>
      </c>
      <c r="W26" s="28">
        <f t="shared" si="9"/>
        <v>0.87119999999999997</v>
      </c>
      <c r="X26" s="28">
        <f t="shared" si="9"/>
        <v>0.86639999999999995</v>
      </c>
      <c r="Y26" s="28">
        <f t="shared" si="9"/>
        <v>0.86160000000000003</v>
      </c>
      <c r="Z26" s="28">
        <f t="shared" si="9"/>
        <v>0.85680000000000001</v>
      </c>
      <c r="AA26" s="26">
        <v>0.85199999999999998</v>
      </c>
      <c r="AB26" s="28">
        <f t="shared" si="10"/>
        <v>0.84599999999999997</v>
      </c>
      <c r="AC26" s="28">
        <f t="shared" si="10"/>
        <v>0.84</v>
      </c>
      <c r="AD26" s="28">
        <f t="shared" si="10"/>
        <v>0.83399999999999996</v>
      </c>
      <c r="AE26" s="28">
        <f t="shared" si="10"/>
        <v>0.82799999999999996</v>
      </c>
      <c r="AF26" s="26">
        <v>0.82199999999999995</v>
      </c>
    </row>
    <row r="27" spans="1:32">
      <c r="A27" s="27">
        <f t="shared" si="5"/>
        <v>950</v>
      </c>
      <c r="B27" s="26">
        <v>0.94099999999999995</v>
      </c>
      <c r="C27" s="28">
        <f t="shared" si="6"/>
        <v>0.93769999999999998</v>
      </c>
      <c r="D27" s="28">
        <f t="shared" si="6"/>
        <v>0.93440000000000001</v>
      </c>
      <c r="E27" s="28">
        <f t="shared" si="6"/>
        <v>0.93109999999999993</v>
      </c>
      <c r="F27" s="28">
        <f t="shared" si="6"/>
        <v>0.92779999999999996</v>
      </c>
      <c r="G27" s="28">
        <f t="shared" si="6"/>
        <v>0.92449999999999999</v>
      </c>
      <c r="H27" s="28">
        <f t="shared" si="6"/>
        <v>0.92120000000000002</v>
      </c>
      <c r="I27" s="28">
        <f t="shared" si="6"/>
        <v>0.91790000000000005</v>
      </c>
      <c r="J27" s="28">
        <f t="shared" si="6"/>
        <v>0.91459999999999997</v>
      </c>
      <c r="K27" s="28">
        <f t="shared" si="6"/>
        <v>0.9113</v>
      </c>
      <c r="L27" s="26">
        <v>0.90800000000000003</v>
      </c>
      <c r="M27" s="28">
        <f t="shared" si="7"/>
        <v>0.90500000000000003</v>
      </c>
      <c r="N27" s="28">
        <f t="shared" si="7"/>
        <v>0.90200000000000002</v>
      </c>
      <c r="O27" s="28">
        <f t="shared" si="7"/>
        <v>0.89900000000000002</v>
      </c>
      <c r="P27" s="28">
        <f t="shared" si="7"/>
        <v>0.89600000000000002</v>
      </c>
      <c r="Q27" s="26">
        <v>0.89300000000000002</v>
      </c>
      <c r="R27" s="28">
        <f t="shared" si="8"/>
        <v>0.88800000000000001</v>
      </c>
      <c r="S27" s="28">
        <f t="shared" si="8"/>
        <v>0.88300000000000001</v>
      </c>
      <c r="T27" s="28">
        <f t="shared" si="8"/>
        <v>0.878</v>
      </c>
      <c r="U27" s="28">
        <f t="shared" si="8"/>
        <v>0.873</v>
      </c>
      <c r="V27" s="26">
        <v>0.86799999999999999</v>
      </c>
      <c r="W27" s="28">
        <f t="shared" si="9"/>
        <v>0.86280000000000001</v>
      </c>
      <c r="X27" s="28">
        <f t="shared" si="9"/>
        <v>0.85760000000000003</v>
      </c>
      <c r="Y27" s="28">
        <f t="shared" si="9"/>
        <v>0.85239999999999994</v>
      </c>
      <c r="Z27" s="28">
        <f t="shared" si="9"/>
        <v>0.84719999999999995</v>
      </c>
      <c r="AA27" s="26">
        <v>0.84199999999999997</v>
      </c>
      <c r="AB27" s="28">
        <f t="shared" si="10"/>
        <v>0.83560000000000001</v>
      </c>
      <c r="AC27" s="28">
        <f t="shared" si="10"/>
        <v>0.82920000000000005</v>
      </c>
      <c r="AD27" s="28">
        <f t="shared" si="10"/>
        <v>0.82279999999999998</v>
      </c>
      <c r="AE27" s="28">
        <f t="shared" si="10"/>
        <v>0.81640000000000001</v>
      </c>
      <c r="AF27" s="26">
        <v>0.81</v>
      </c>
    </row>
    <row r="28" spans="1:32">
      <c r="A28" s="27">
        <f t="shared" si="5"/>
        <v>1000</v>
      </c>
      <c r="B28" s="26">
        <v>0.93899999999999995</v>
      </c>
      <c r="C28" s="28">
        <f t="shared" si="6"/>
        <v>0.9355</v>
      </c>
      <c r="D28" s="28">
        <f t="shared" si="6"/>
        <v>0.93199999999999994</v>
      </c>
      <c r="E28" s="28">
        <f t="shared" si="6"/>
        <v>0.92849999999999999</v>
      </c>
      <c r="F28" s="28">
        <f t="shared" si="6"/>
        <v>0.92499999999999993</v>
      </c>
      <c r="G28" s="28">
        <f t="shared" si="6"/>
        <v>0.92149999999999999</v>
      </c>
      <c r="H28" s="28">
        <f t="shared" si="6"/>
        <v>0.91800000000000004</v>
      </c>
      <c r="I28" s="28">
        <f t="shared" si="6"/>
        <v>0.91449999999999998</v>
      </c>
      <c r="J28" s="28">
        <f t="shared" si="6"/>
        <v>0.91100000000000003</v>
      </c>
      <c r="K28" s="28">
        <f t="shared" si="6"/>
        <v>0.90749999999999997</v>
      </c>
      <c r="L28" s="26">
        <v>0.90400000000000003</v>
      </c>
      <c r="M28" s="28">
        <f t="shared" si="7"/>
        <v>0.90100000000000002</v>
      </c>
      <c r="N28" s="28">
        <f t="shared" si="7"/>
        <v>0.89800000000000002</v>
      </c>
      <c r="O28" s="28">
        <f t="shared" si="7"/>
        <v>0.89500000000000002</v>
      </c>
      <c r="P28" s="28">
        <f t="shared" si="7"/>
        <v>0.89200000000000002</v>
      </c>
      <c r="Q28" s="26">
        <v>0.88900000000000001</v>
      </c>
      <c r="R28" s="28">
        <f t="shared" si="8"/>
        <v>0.88319999999999999</v>
      </c>
      <c r="S28" s="28">
        <f t="shared" si="8"/>
        <v>0.87739999999999996</v>
      </c>
      <c r="T28" s="28">
        <f t="shared" si="8"/>
        <v>0.87160000000000004</v>
      </c>
      <c r="U28" s="28">
        <f t="shared" si="8"/>
        <v>0.86580000000000001</v>
      </c>
      <c r="V28" s="26">
        <v>0.86</v>
      </c>
      <c r="W28" s="28">
        <f t="shared" si="9"/>
        <v>0.85519999999999996</v>
      </c>
      <c r="X28" s="28">
        <f t="shared" si="9"/>
        <v>0.85039999999999993</v>
      </c>
      <c r="Y28" s="28">
        <f t="shared" si="9"/>
        <v>0.84560000000000002</v>
      </c>
      <c r="Z28" s="28">
        <f t="shared" si="9"/>
        <v>0.84079999999999999</v>
      </c>
      <c r="AA28" s="26">
        <v>0.83599999999999997</v>
      </c>
      <c r="AB28" s="28">
        <f t="shared" si="10"/>
        <v>0.82879999999999998</v>
      </c>
      <c r="AC28" s="28">
        <f t="shared" si="10"/>
        <v>0.8216</v>
      </c>
      <c r="AD28" s="28">
        <f t="shared" si="10"/>
        <v>0.81440000000000001</v>
      </c>
      <c r="AE28" s="28">
        <f t="shared" si="10"/>
        <v>0.80720000000000003</v>
      </c>
      <c r="AF28" s="26">
        <v>0.8</v>
      </c>
    </row>
    <row r="29" spans="1:32">
      <c r="A29" s="27">
        <f t="shared" si="5"/>
        <v>1050</v>
      </c>
      <c r="B29" s="26">
        <v>0.93700000000000006</v>
      </c>
      <c r="C29" s="28">
        <f t="shared" si="6"/>
        <v>0.93330000000000002</v>
      </c>
      <c r="D29" s="28">
        <f t="shared" si="6"/>
        <v>0.92960000000000009</v>
      </c>
      <c r="E29" s="28">
        <f t="shared" si="6"/>
        <v>0.92590000000000006</v>
      </c>
      <c r="F29" s="28">
        <f t="shared" si="6"/>
        <v>0.92220000000000002</v>
      </c>
      <c r="G29" s="28">
        <f t="shared" si="6"/>
        <v>0.91850000000000009</v>
      </c>
      <c r="H29" s="28">
        <f t="shared" si="6"/>
        <v>0.91480000000000006</v>
      </c>
      <c r="I29" s="28">
        <f t="shared" si="6"/>
        <v>0.91110000000000002</v>
      </c>
      <c r="J29" s="28">
        <f t="shared" si="6"/>
        <v>0.90739999999999998</v>
      </c>
      <c r="K29" s="28">
        <f t="shared" si="6"/>
        <v>0.90370000000000006</v>
      </c>
      <c r="L29" s="26">
        <v>0.9</v>
      </c>
      <c r="M29" s="28">
        <f t="shared" si="7"/>
        <v>0.89680000000000004</v>
      </c>
      <c r="N29" s="28">
        <f t="shared" si="7"/>
        <v>0.89360000000000006</v>
      </c>
      <c r="O29" s="28">
        <f t="shared" si="7"/>
        <v>0.89039999999999997</v>
      </c>
      <c r="P29" s="28">
        <f t="shared" si="7"/>
        <v>0.88719999999999999</v>
      </c>
      <c r="Q29" s="26">
        <v>0.88400000000000001</v>
      </c>
      <c r="R29" s="28">
        <f t="shared" si="8"/>
        <v>0.879</v>
      </c>
      <c r="S29" s="28">
        <f t="shared" si="8"/>
        <v>0.874</v>
      </c>
      <c r="T29" s="28">
        <f t="shared" si="8"/>
        <v>0.86899999999999999</v>
      </c>
      <c r="U29" s="28">
        <f t="shared" si="8"/>
        <v>0.86399999999999999</v>
      </c>
      <c r="V29" s="26">
        <v>0.85899999999999999</v>
      </c>
      <c r="W29" s="28">
        <f t="shared" si="9"/>
        <v>0.85319999999999996</v>
      </c>
      <c r="X29" s="28">
        <f t="shared" si="9"/>
        <v>0.84739999999999993</v>
      </c>
      <c r="Y29" s="28">
        <f t="shared" si="9"/>
        <v>0.84160000000000001</v>
      </c>
      <c r="Z29" s="28">
        <f t="shared" si="9"/>
        <v>0.83579999999999999</v>
      </c>
      <c r="AA29" s="26">
        <v>0.83</v>
      </c>
      <c r="AB29" s="28">
        <f t="shared" si="10"/>
        <v>0.82279999999999998</v>
      </c>
      <c r="AC29" s="28">
        <f t="shared" si="10"/>
        <v>0.81559999999999999</v>
      </c>
      <c r="AD29" s="28">
        <f t="shared" si="10"/>
        <v>0.80840000000000001</v>
      </c>
      <c r="AE29" s="28">
        <f t="shared" si="10"/>
        <v>0.80120000000000002</v>
      </c>
      <c r="AF29" s="26">
        <v>0.79400000000000004</v>
      </c>
    </row>
    <row r="30" spans="1:32">
      <c r="A30" s="27">
        <f t="shared" si="5"/>
        <v>1100</v>
      </c>
      <c r="B30" s="26">
        <v>0.93500000000000005</v>
      </c>
      <c r="C30" s="28">
        <f t="shared" si="6"/>
        <v>0.93120000000000003</v>
      </c>
      <c r="D30" s="28">
        <f t="shared" si="6"/>
        <v>0.9274</v>
      </c>
      <c r="E30" s="28">
        <f t="shared" si="6"/>
        <v>0.92360000000000009</v>
      </c>
      <c r="F30" s="28">
        <f t="shared" si="6"/>
        <v>0.91980000000000006</v>
      </c>
      <c r="G30" s="28">
        <f t="shared" si="6"/>
        <v>0.91600000000000004</v>
      </c>
      <c r="H30" s="28">
        <f t="shared" si="6"/>
        <v>0.91220000000000001</v>
      </c>
      <c r="I30" s="28">
        <f t="shared" si="6"/>
        <v>0.90839999999999999</v>
      </c>
      <c r="J30" s="28">
        <f t="shared" si="6"/>
        <v>0.90460000000000007</v>
      </c>
      <c r="K30" s="28">
        <f t="shared" si="6"/>
        <v>0.90080000000000005</v>
      </c>
      <c r="L30" s="26">
        <v>0.89700000000000002</v>
      </c>
      <c r="M30" s="28">
        <f t="shared" si="7"/>
        <v>0.89360000000000006</v>
      </c>
      <c r="N30" s="28">
        <f t="shared" si="7"/>
        <v>0.89019999999999999</v>
      </c>
      <c r="O30" s="28">
        <f t="shared" si="7"/>
        <v>0.88680000000000003</v>
      </c>
      <c r="P30" s="28">
        <f t="shared" si="7"/>
        <v>0.88339999999999996</v>
      </c>
      <c r="Q30" s="26">
        <v>0.88</v>
      </c>
      <c r="R30" s="28">
        <f t="shared" si="8"/>
        <v>0.87480000000000002</v>
      </c>
      <c r="S30" s="28">
        <f t="shared" si="8"/>
        <v>0.86960000000000004</v>
      </c>
      <c r="T30" s="28">
        <f t="shared" si="8"/>
        <v>0.86439999999999995</v>
      </c>
      <c r="U30" s="28">
        <f t="shared" si="8"/>
        <v>0.85919999999999996</v>
      </c>
      <c r="V30" s="26">
        <v>0.85399999999999998</v>
      </c>
      <c r="W30" s="28">
        <f t="shared" si="9"/>
        <v>0.84799999999999998</v>
      </c>
      <c r="X30" s="28">
        <f t="shared" si="9"/>
        <v>0.84199999999999997</v>
      </c>
      <c r="Y30" s="28">
        <f t="shared" si="9"/>
        <v>0.83599999999999997</v>
      </c>
      <c r="Z30" s="28">
        <f t="shared" si="9"/>
        <v>0.83</v>
      </c>
      <c r="AA30" s="26">
        <v>0.82399999999999995</v>
      </c>
      <c r="AB30" s="28">
        <f t="shared" si="10"/>
        <v>0.81579999999999997</v>
      </c>
      <c r="AC30" s="28">
        <f t="shared" si="10"/>
        <v>0.80759999999999998</v>
      </c>
      <c r="AD30" s="28">
        <f t="shared" si="10"/>
        <v>0.7994</v>
      </c>
      <c r="AE30" s="28">
        <f t="shared" si="10"/>
        <v>0.79120000000000001</v>
      </c>
      <c r="AF30" s="26">
        <v>0.78300000000000003</v>
      </c>
    </row>
    <row r="31" spans="1:32">
      <c r="A31" s="27">
        <f t="shared" si="5"/>
        <v>1150</v>
      </c>
      <c r="B31" s="26">
        <v>0.93300000000000005</v>
      </c>
      <c r="C31" s="28">
        <f t="shared" si="6"/>
        <v>0.92900000000000005</v>
      </c>
      <c r="D31" s="28">
        <f t="shared" si="6"/>
        <v>0.92500000000000004</v>
      </c>
      <c r="E31" s="28">
        <f t="shared" si="6"/>
        <v>0.92100000000000004</v>
      </c>
      <c r="F31" s="28">
        <f t="shared" si="6"/>
        <v>0.91700000000000004</v>
      </c>
      <c r="G31" s="28">
        <f t="shared" si="6"/>
        <v>0.91300000000000003</v>
      </c>
      <c r="H31" s="28">
        <f t="shared" si="6"/>
        <v>0.90900000000000003</v>
      </c>
      <c r="I31" s="28">
        <f t="shared" si="6"/>
        <v>0.90500000000000003</v>
      </c>
      <c r="J31" s="28">
        <f t="shared" si="6"/>
        <v>0.90100000000000002</v>
      </c>
      <c r="K31" s="28">
        <f t="shared" si="6"/>
        <v>0.89700000000000002</v>
      </c>
      <c r="L31" s="26">
        <v>0.89300000000000002</v>
      </c>
      <c r="M31" s="28">
        <f t="shared" si="7"/>
        <v>0.88939999999999997</v>
      </c>
      <c r="N31" s="28">
        <f t="shared" si="7"/>
        <v>0.88580000000000003</v>
      </c>
      <c r="O31" s="28">
        <f t="shared" si="7"/>
        <v>0.88219999999999998</v>
      </c>
      <c r="P31" s="28">
        <f t="shared" si="7"/>
        <v>0.87860000000000005</v>
      </c>
      <c r="Q31" s="26">
        <v>0.875</v>
      </c>
      <c r="R31" s="28">
        <f t="shared" si="8"/>
        <v>0.86960000000000004</v>
      </c>
      <c r="S31" s="28">
        <f t="shared" si="8"/>
        <v>0.86419999999999997</v>
      </c>
      <c r="T31" s="28">
        <f t="shared" si="8"/>
        <v>0.85880000000000001</v>
      </c>
      <c r="U31" s="28">
        <f t="shared" si="8"/>
        <v>0.85339999999999994</v>
      </c>
      <c r="V31" s="26">
        <v>0.84799999999999998</v>
      </c>
      <c r="W31" s="28">
        <f t="shared" si="9"/>
        <v>0.84179999999999999</v>
      </c>
      <c r="X31" s="28">
        <f t="shared" si="9"/>
        <v>0.83560000000000001</v>
      </c>
      <c r="Y31" s="28">
        <f t="shared" si="9"/>
        <v>0.82939999999999992</v>
      </c>
      <c r="Z31" s="28">
        <f t="shared" si="9"/>
        <v>0.82319999999999993</v>
      </c>
      <c r="AA31" s="26">
        <v>0.81699999999999995</v>
      </c>
      <c r="AB31" s="28">
        <f t="shared" si="10"/>
        <v>0.80840000000000001</v>
      </c>
      <c r="AC31" s="28">
        <f t="shared" si="10"/>
        <v>0.79979999999999996</v>
      </c>
      <c r="AD31" s="28">
        <f t="shared" si="10"/>
        <v>0.79120000000000001</v>
      </c>
      <c r="AE31" s="28">
        <f t="shared" si="10"/>
        <v>0.78259999999999996</v>
      </c>
      <c r="AF31" s="26">
        <v>0.77400000000000002</v>
      </c>
    </row>
    <row r="32" spans="1:32">
      <c r="A32" s="27">
        <f t="shared" si="5"/>
        <v>1200</v>
      </c>
      <c r="B32" s="26">
        <v>0.93</v>
      </c>
      <c r="C32" s="28">
        <f t="shared" si="6"/>
        <v>0.92600000000000005</v>
      </c>
      <c r="D32" s="28">
        <f t="shared" si="6"/>
        <v>0.92200000000000004</v>
      </c>
      <c r="E32" s="28">
        <f t="shared" si="6"/>
        <v>0.91800000000000004</v>
      </c>
      <c r="F32" s="28">
        <f t="shared" si="6"/>
        <v>0.91400000000000003</v>
      </c>
      <c r="G32" s="28">
        <f t="shared" si="6"/>
        <v>0.91</v>
      </c>
      <c r="H32" s="28">
        <f t="shared" si="6"/>
        <v>0.90600000000000003</v>
      </c>
      <c r="I32" s="28">
        <f t="shared" si="6"/>
        <v>0.90200000000000002</v>
      </c>
      <c r="J32" s="28">
        <f t="shared" si="6"/>
        <v>0.89800000000000002</v>
      </c>
      <c r="K32" s="28">
        <f t="shared" si="6"/>
        <v>0.89400000000000002</v>
      </c>
      <c r="L32" s="26">
        <v>0.89</v>
      </c>
      <c r="M32" s="28">
        <f t="shared" si="7"/>
        <v>0.88600000000000001</v>
      </c>
      <c r="N32" s="28">
        <f t="shared" si="7"/>
        <v>0.88200000000000001</v>
      </c>
      <c r="O32" s="28">
        <f t="shared" si="7"/>
        <v>0.878</v>
      </c>
      <c r="P32" s="28">
        <f t="shared" si="7"/>
        <v>0.874</v>
      </c>
      <c r="Q32" s="26">
        <v>0.87</v>
      </c>
      <c r="R32" s="28">
        <f t="shared" si="8"/>
        <v>0.86399999999999999</v>
      </c>
      <c r="S32" s="28">
        <f t="shared" si="8"/>
        <v>0.85799999999999998</v>
      </c>
      <c r="T32" s="28">
        <f t="shared" si="8"/>
        <v>0.85199999999999998</v>
      </c>
      <c r="U32" s="28">
        <f t="shared" si="8"/>
        <v>0.84599999999999997</v>
      </c>
      <c r="V32" s="26">
        <v>0.84</v>
      </c>
      <c r="W32" s="28">
        <f t="shared" si="9"/>
        <v>0.83379999999999999</v>
      </c>
      <c r="X32" s="28">
        <f t="shared" si="9"/>
        <v>0.8276</v>
      </c>
      <c r="Y32" s="28">
        <f t="shared" si="9"/>
        <v>0.82140000000000002</v>
      </c>
      <c r="Z32" s="28">
        <f t="shared" si="9"/>
        <v>0.81520000000000004</v>
      </c>
      <c r="AA32" s="26">
        <v>0.80900000000000005</v>
      </c>
      <c r="AB32" s="28">
        <f t="shared" si="10"/>
        <v>0.8</v>
      </c>
      <c r="AC32" s="28">
        <f t="shared" si="10"/>
        <v>0.79100000000000004</v>
      </c>
      <c r="AD32" s="28">
        <f t="shared" si="10"/>
        <v>0.78200000000000003</v>
      </c>
      <c r="AE32" s="28">
        <f t="shared" si="10"/>
        <v>0.77300000000000002</v>
      </c>
      <c r="AF32" s="26">
        <v>0.76400000000000001</v>
      </c>
    </row>
    <row r="33" spans="1:32">
      <c r="A33" s="27">
        <f>A32+50</f>
        <v>1250</v>
      </c>
      <c r="B33" s="26">
        <v>0.92700000000000005</v>
      </c>
      <c r="C33" s="28">
        <f t="shared" si="6"/>
        <v>0.92300000000000004</v>
      </c>
      <c r="D33" s="28">
        <f t="shared" si="6"/>
        <v>0.91900000000000004</v>
      </c>
      <c r="E33" s="28">
        <f t="shared" si="6"/>
        <v>0.91500000000000004</v>
      </c>
      <c r="F33" s="28">
        <f t="shared" si="6"/>
        <v>0.91100000000000003</v>
      </c>
      <c r="G33" s="28">
        <f t="shared" si="6"/>
        <v>0.90700000000000003</v>
      </c>
      <c r="H33" s="28">
        <f t="shared" si="6"/>
        <v>0.90300000000000002</v>
      </c>
      <c r="I33" s="28">
        <f t="shared" si="6"/>
        <v>0.89900000000000002</v>
      </c>
      <c r="J33" s="28">
        <f t="shared" si="6"/>
        <v>0.89500000000000002</v>
      </c>
      <c r="K33" s="28">
        <f t="shared" si="6"/>
        <v>0.89100000000000001</v>
      </c>
      <c r="L33" s="26">
        <v>0.88700000000000001</v>
      </c>
      <c r="M33" s="28">
        <f t="shared" si="7"/>
        <v>0.88239999999999996</v>
      </c>
      <c r="N33" s="28">
        <f t="shared" si="7"/>
        <v>0.87780000000000002</v>
      </c>
      <c r="O33" s="28">
        <f t="shared" si="7"/>
        <v>0.87319999999999998</v>
      </c>
      <c r="P33" s="28">
        <f t="shared" si="7"/>
        <v>0.86860000000000004</v>
      </c>
      <c r="Q33" s="26">
        <v>0.86399999999999999</v>
      </c>
      <c r="R33" s="28">
        <f t="shared" si="8"/>
        <v>0.85760000000000003</v>
      </c>
      <c r="S33" s="28">
        <f t="shared" si="8"/>
        <v>0.85119999999999996</v>
      </c>
      <c r="T33" s="28">
        <f t="shared" si="8"/>
        <v>0.8448</v>
      </c>
      <c r="U33" s="28">
        <f t="shared" si="8"/>
        <v>0.83839999999999992</v>
      </c>
      <c r="V33" s="26">
        <v>0.83199999999999996</v>
      </c>
      <c r="W33" s="28">
        <f t="shared" si="9"/>
        <v>0.82579999999999998</v>
      </c>
      <c r="X33" s="28">
        <f t="shared" si="9"/>
        <v>0.8196</v>
      </c>
      <c r="Y33" s="28">
        <f t="shared" si="9"/>
        <v>0.81340000000000001</v>
      </c>
      <c r="Z33" s="28">
        <f t="shared" si="9"/>
        <v>0.80720000000000003</v>
      </c>
      <c r="AA33" s="26">
        <v>0.80100000000000005</v>
      </c>
      <c r="AB33" s="28">
        <f t="shared" si="10"/>
        <v>0.79180000000000006</v>
      </c>
      <c r="AC33" s="28">
        <f t="shared" si="10"/>
        <v>0.78260000000000007</v>
      </c>
      <c r="AD33" s="28">
        <f t="shared" si="10"/>
        <v>0.77339999999999998</v>
      </c>
      <c r="AE33" s="28">
        <f t="shared" si="10"/>
        <v>0.76419999999999999</v>
      </c>
      <c r="AF33" s="26">
        <v>0.755</v>
      </c>
    </row>
    <row r="41" spans="1:32">
      <c r="A41" s="15" t="s">
        <v>14</v>
      </c>
    </row>
    <row r="43" spans="1:32">
      <c r="A43" s="15">
        <v>150</v>
      </c>
      <c r="C43" s="15" t="s">
        <v>40</v>
      </c>
      <c r="G43" s="15">
        <v>95</v>
      </c>
      <c r="I43" s="15" t="s">
        <v>62</v>
      </c>
      <c r="M43" s="15">
        <v>40</v>
      </c>
      <c r="O43" s="15" t="s">
        <v>54</v>
      </c>
    </row>
    <row r="44" spans="1:32">
      <c r="A44" s="15">
        <f t="shared" ref="A44:A53" si="11">A43-5</f>
        <v>145</v>
      </c>
      <c r="C44" s="15" t="s">
        <v>70</v>
      </c>
      <c r="G44" s="15">
        <f t="shared" ref="G44:G53" si="12">G43-5</f>
        <v>90</v>
      </c>
      <c r="I44" s="15" t="s">
        <v>61</v>
      </c>
      <c r="M44" s="15">
        <f t="shared" ref="M44:M51" si="13">M43-5</f>
        <v>35</v>
      </c>
      <c r="O44" s="15" t="s">
        <v>52</v>
      </c>
    </row>
    <row r="45" spans="1:32">
      <c r="A45" s="15">
        <f t="shared" si="11"/>
        <v>140</v>
      </c>
      <c r="C45" s="15" t="s">
        <v>69</v>
      </c>
      <c r="G45" s="15">
        <f t="shared" si="12"/>
        <v>85</v>
      </c>
      <c r="I45" s="15" t="s">
        <v>60</v>
      </c>
      <c r="M45" s="15">
        <f t="shared" si="13"/>
        <v>30</v>
      </c>
      <c r="O45" s="15" t="s">
        <v>51</v>
      </c>
    </row>
    <row r="46" spans="1:32">
      <c r="A46" s="15">
        <f t="shared" si="11"/>
        <v>135</v>
      </c>
      <c r="C46" s="15" t="s">
        <v>68</v>
      </c>
      <c r="G46" s="15">
        <f t="shared" si="12"/>
        <v>80</v>
      </c>
      <c r="I46" s="15" t="s">
        <v>59</v>
      </c>
      <c r="M46" s="15">
        <f t="shared" si="13"/>
        <v>25</v>
      </c>
      <c r="O46" s="15" t="s">
        <v>45</v>
      </c>
    </row>
    <row r="47" spans="1:32">
      <c r="A47" s="15">
        <f t="shared" si="11"/>
        <v>130</v>
      </c>
      <c r="C47" s="15" t="s">
        <v>67</v>
      </c>
      <c r="G47" s="15">
        <f t="shared" si="12"/>
        <v>75</v>
      </c>
      <c r="I47" s="15" t="s">
        <v>43</v>
      </c>
      <c r="M47" s="15">
        <f t="shared" si="13"/>
        <v>20</v>
      </c>
      <c r="O47" s="15" t="s">
        <v>50</v>
      </c>
    </row>
    <row r="48" spans="1:32">
      <c r="A48" s="15">
        <f t="shared" si="11"/>
        <v>125</v>
      </c>
      <c r="C48" s="15" t="s">
        <v>41</v>
      </c>
      <c r="G48" s="15">
        <f t="shared" si="12"/>
        <v>70</v>
      </c>
      <c r="I48" s="15" t="s">
        <v>58</v>
      </c>
      <c r="M48" s="15">
        <f t="shared" si="13"/>
        <v>15</v>
      </c>
      <c r="O48" s="15" t="s">
        <v>49</v>
      </c>
    </row>
    <row r="49" spans="1:15">
      <c r="A49" s="15">
        <f t="shared" si="11"/>
        <v>120</v>
      </c>
      <c r="C49" s="15" t="s">
        <v>66</v>
      </c>
      <c r="G49" s="15">
        <f t="shared" si="12"/>
        <v>65</v>
      </c>
      <c r="I49" s="15" t="s">
        <v>57</v>
      </c>
      <c r="M49" s="15">
        <f t="shared" si="13"/>
        <v>10</v>
      </c>
      <c r="O49" s="15" t="s">
        <v>48</v>
      </c>
    </row>
    <row r="50" spans="1:15">
      <c r="A50" s="15">
        <f t="shared" si="11"/>
        <v>115</v>
      </c>
      <c r="C50" s="15" t="s">
        <v>65</v>
      </c>
      <c r="G50" s="15">
        <f t="shared" si="12"/>
        <v>60</v>
      </c>
      <c r="I50" s="15" t="s">
        <v>56</v>
      </c>
      <c r="M50" s="15">
        <f t="shared" si="13"/>
        <v>5</v>
      </c>
      <c r="O50" s="15" t="s">
        <v>47</v>
      </c>
    </row>
    <row r="51" spans="1:15">
      <c r="A51" s="15">
        <f t="shared" si="11"/>
        <v>110</v>
      </c>
      <c r="C51" s="15" t="s">
        <v>64</v>
      </c>
      <c r="G51" s="15">
        <f t="shared" si="12"/>
        <v>55</v>
      </c>
      <c r="I51" s="15" t="s">
        <v>55</v>
      </c>
      <c r="M51" s="15">
        <f t="shared" si="13"/>
        <v>0</v>
      </c>
      <c r="O51" s="15" t="s">
        <v>46</v>
      </c>
    </row>
    <row r="52" spans="1:15">
      <c r="A52" s="15">
        <f t="shared" si="11"/>
        <v>105</v>
      </c>
      <c r="C52" s="15" t="s">
        <v>63</v>
      </c>
      <c r="G52" s="15">
        <f t="shared" si="12"/>
        <v>50</v>
      </c>
      <c r="I52" s="15" t="s">
        <v>44</v>
      </c>
    </row>
    <row r="53" spans="1:15">
      <c r="A53" s="15">
        <f t="shared" si="11"/>
        <v>100</v>
      </c>
      <c r="C53" s="15" t="s">
        <v>42</v>
      </c>
      <c r="G53" s="15">
        <f t="shared" si="12"/>
        <v>45</v>
      </c>
      <c r="I53" s="15" t="s">
        <v>53</v>
      </c>
    </row>
  </sheetData>
  <sheetProtection sheet="1" objects="1" scenarios="1"/>
  <mergeCells count="4">
    <mergeCell ref="A1:D3"/>
    <mergeCell ref="B5:N5"/>
    <mergeCell ref="O5:AF5"/>
    <mergeCell ref="G2:K3"/>
  </mergeCells>
  <phoneticPr fontId="1"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sheetPr codeName="Sheet31"/>
  <dimension ref="A1:AF53"/>
  <sheetViews>
    <sheetView topLeftCell="F31" workbookViewId="0">
      <selection activeCell="Y30" sqref="Y30"/>
    </sheetView>
  </sheetViews>
  <sheetFormatPr defaultRowHeight="12.75"/>
  <cols>
    <col min="1" max="1" width="16.140625" customWidth="1"/>
    <col min="2" max="32" width="11.28515625" customWidth="1"/>
  </cols>
  <sheetData>
    <row r="1" spans="1:32">
      <c r="A1" s="158" t="s">
        <v>5</v>
      </c>
      <c r="B1" s="158"/>
      <c r="C1" s="158"/>
      <c r="D1" s="158"/>
    </row>
    <row r="2" spans="1:32">
      <c r="A2" s="158"/>
      <c r="B2" s="158"/>
      <c r="C2" s="158"/>
      <c r="D2" s="158"/>
      <c r="G2" s="164" t="s">
        <v>39</v>
      </c>
      <c r="H2" s="165"/>
      <c r="I2" s="165"/>
      <c r="J2" s="165"/>
      <c r="K2" s="165"/>
    </row>
    <row r="3" spans="1:32">
      <c r="A3" s="158"/>
      <c r="B3" s="158"/>
      <c r="C3" s="158"/>
      <c r="D3" s="158"/>
      <c r="E3" s="6"/>
      <c r="F3" s="6"/>
      <c r="G3" s="165"/>
      <c r="H3" s="165"/>
      <c r="I3" s="165"/>
      <c r="J3" s="165"/>
      <c r="K3" s="165"/>
    </row>
    <row r="4" spans="1:32" ht="13.5" thickBot="1">
      <c r="A4" s="13"/>
      <c r="B4" s="6"/>
    </row>
    <row r="5" spans="1:32" ht="18.75" thickBot="1">
      <c r="A5" s="3"/>
      <c r="B5" s="159" t="s">
        <v>12</v>
      </c>
      <c r="C5" s="160"/>
      <c r="D5" s="160"/>
      <c r="E5" s="160"/>
      <c r="F5" s="160"/>
      <c r="G5" s="160"/>
      <c r="H5" s="160"/>
      <c r="I5" s="160"/>
      <c r="J5" s="160"/>
      <c r="K5" s="160"/>
      <c r="L5" s="160"/>
      <c r="M5" s="160"/>
      <c r="N5" s="161"/>
      <c r="O5" s="162" t="s">
        <v>12</v>
      </c>
      <c r="P5" s="162"/>
      <c r="Q5" s="162"/>
      <c r="R5" s="162"/>
      <c r="S5" s="162"/>
      <c r="T5" s="162"/>
      <c r="U5" s="162"/>
      <c r="V5" s="162"/>
      <c r="W5" s="162"/>
      <c r="X5" s="162"/>
      <c r="Y5" s="162"/>
      <c r="Z5" s="162"/>
      <c r="AA5" s="162"/>
      <c r="AB5" s="162"/>
      <c r="AC5" s="162"/>
      <c r="AD5" s="162"/>
      <c r="AE5" s="162"/>
      <c r="AF5" s="163"/>
    </row>
    <row r="6" spans="1:32">
      <c r="B6" s="4">
        <v>150</v>
      </c>
      <c r="C6" s="10">
        <f>B6-5</f>
        <v>145</v>
      </c>
      <c r="D6" s="10">
        <f t="shared" ref="D6:AF6" si="0">C6-5</f>
        <v>140</v>
      </c>
      <c r="E6" s="10">
        <f t="shared" si="0"/>
        <v>135</v>
      </c>
      <c r="F6" s="10">
        <f t="shared" si="0"/>
        <v>130</v>
      </c>
      <c r="G6" s="10">
        <f t="shared" si="0"/>
        <v>125</v>
      </c>
      <c r="H6" s="10">
        <f t="shared" si="0"/>
        <v>120</v>
      </c>
      <c r="I6" s="10">
        <f t="shared" si="0"/>
        <v>115</v>
      </c>
      <c r="J6" s="10">
        <f t="shared" si="0"/>
        <v>110</v>
      </c>
      <c r="K6" s="10">
        <f t="shared" si="0"/>
        <v>105</v>
      </c>
      <c r="L6" s="11">
        <f t="shared" si="0"/>
        <v>100</v>
      </c>
      <c r="M6" s="10">
        <f t="shared" si="0"/>
        <v>95</v>
      </c>
      <c r="N6" s="10">
        <f t="shared" si="0"/>
        <v>90</v>
      </c>
      <c r="O6" s="10">
        <f t="shared" si="0"/>
        <v>85</v>
      </c>
      <c r="P6" s="10">
        <f t="shared" si="0"/>
        <v>80</v>
      </c>
      <c r="Q6" s="11">
        <f t="shared" si="0"/>
        <v>75</v>
      </c>
      <c r="R6" s="10">
        <f t="shared" si="0"/>
        <v>70</v>
      </c>
      <c r="S6" s="10">
        <f t="shared" si="0"/>
        <v>65</v>
      </c>
      <c r="T6" s="10">
        <f t="shared" si="0"/>
        <v>60</v>
      </c>
      <c r="U6" s="10">
        <f t="shared" si="0"/>
        <v>55</v>
      </c>
      <c r="V6" s="11">
        <f t="shared" si="0"/>
        <v>50</v>
      </c>
      <c r="W6" s="10">
        <f t="shared" si="0"/>
        <v>45</v>
      </c>
      <c r="X6" s="10">
        <f t="shared" si="0"/>
        <v>40</v>
      </c>
      <c r="Y6" s="10">
        <f t="shared" si="0"/>
        <v>35</v>
      </c>
      <c r="Z6" s="10">
        <f t="shared" si="0"/>
        <v>30</v>
      </c>
      <c r="AA6" s="11">
        <f t="shared" si="0"/>
        <v>25</v>
      </c>
      <c r="AB6" s="10">
        <f t="shared" si="0"/>
        <v>20</v>
      </c>
      <c r="AC6" s="10">
        <f t="shared" si="0"/>
        <v>15</v>
      </c>
      <c r="AD6" s="10">
        <f t="shared" si="0"/>
        <v>10</v>
      </c>
      <c r="AE6" s="10">
        <f t="shared" si="0"/>
        <v>5</v>
      </c>
      <c r="AF6" s="11">
        <f t="shared" si="0"/>
        <v>0</v>
      </c>
    </row>
    <row r="7" spans="1:32" ht="12.75" customHeight="1">
      <c r="A7" s="1" t="s">
        <v>1</v>
      </c>
      <c r="B7" s="7" t="s">
        <v>3</v>
      </c>
      <c r="C7" s="9" t="s">
        <v>3</v>
      </c>
      <c r="D7" s="9" t="s">
        <v>3</v>
      </c>
      <c r="E7" s="9" t="s">
        <v>3</v>
      </c>
      <c r="F7" s="9" t="s">
        <v>3</v>
      </c>
      <c r="G7" s="9" t="s">
        <v>3</v>
      </c>
      <c r="H7" s="9" t="s">
        <v>3</v>
      </c>
      <c r="I7" s="9" t="s">
        <v>3</v>
      </c>
      <c r="J7" s="9" t="s">
        <v>3</v>
      </c>
      <c r="K7" s="9" t="s">
        <v>3</v>
      </c>
      <c r="L7" s="7" t="s">
        <v>3</v>
      </c>
      <c r="M7" s="9" t="s">
        <v>3</v>
      </c>
      <c r="N7" s="9" t="s">
        <v>3</v>
      </c>
      <c r="O7" s="9" t="s">
        <v>3</v>
      </c>
      <c r="P7" s="9" t="s">
        <v>3</v>
      </c>
      <c r="Q7" s="8" t="s">
        <v>3</v>
      </c>
      <c r="R7" s="9" t="s">
        <v>3</v>
      </c>
      <c r="S7" s="9" t="s">
        <v>3</v>
      </c>
      <c r="T7" s="9" t="s">
        <v>3</v>
      </c>
      <c r="U7" s="9" t="s">
        <v>3</v>
      </c>
      <c r="V7" s="5" t="s">
        <v>3</v>
      </c>
      <c r="W7" s="9" t="s">
        <v>3</v>
      </c>
      <c r="X7" s="9" t="s">
        <v>3</v>
      </c>
      <c r="Y7" s="9" t="s">
        <v>3</v>
      </c>
      <c r="Z7" s="9" t="s">
        <v>3</v>
      </c>
      <c r="AA7" s="5" t="s">
        <v>3</v>
      </c>
      <c r="AB7" s="9" t="s">
        <v>3</v>
      </c>
      <c r="AC7" s="9" t="s">
        <v>3</v>
      </c>
      <c r="AD7" s="9" t="s">
        <v>3</v>
      </c>
      <c r="AE7" s="9" t="s">
        <v>3</v>
      </c>
      <c r="AF7" s="5" t="s">
        <v>3</v>
      </c>
    </row>
    <row r="8" spans="1:32">
      <c r="A8" s="12">
        <v>0</v>
      </c>
      <c r="B8" s="5">
        <v>1</v>
      </c>
      <c r="C8" s="2">
        <v>1</v>
      </c>
      <c r="D8" s="2">
        <v>1</v>
      </c>
      <c r="E8" s="2">
        <v>1</v>
      </c>
      <c r="F8" s="2">
        <v>1</v>
      </c>
      <c r="G8" s="2">
        <v>1</v>
      </c>
      <c r="H8" s="2">
        <v>1</v>
      </c>
      <c r="I8" s="2">
        <v>1</v>
      </c>
      <c r="J8" s="2">
        <v>1</v>
      </c>
      <c r="K8" s="2">
        <v>1</v>
      </c>
      <c r="L8" s="5">
        <v>1</v>
      </c>
      <c r="M8" s="2">
        <v>1</v>
      </c>
      <c r="N8" s="2">
        <v>1</v>
      </c>
      <c r="O8" s="2">
        <v>1</v>
      </c>
      <c r="P8" s="2">
        <v>1</v>
      </c>
      <c r="Q8" s="5">
        <v>1</v>
      </c>
      <c r="R8" s="2">
        <v>1</v>
      </c>
      <c r="S8" s="2">
        <v>1</v>
      </c>
      <c r="T8" s="2">
        <v>1</v>
      </c>
      <c r="U8" s="2">
        <v>1</v>
      </c>
      <c r="V8" s="5">
        <v>1</v>
      </c>
      <c r="W8" s="2">
        <v>1</v>
      </c>
      <c r="X8" s="2">
        <v>1</v>
      </c>
      <c r="Y8" s="2">
        <v>1</v>
      </c>
      <c r="Z8" s="2">
        <v>1</v>
      </c>
      <c r="AA8" s="5">
        <v>1</v>
      </c>
      <c r="AB8" s="2">
        <v>1</v>
      </c>
      <c r="AC8" s="2">
        <v>1</v>
      </c>
      <c r="AD8" s="2">
        <v>1</v>
      </c>
      <c r="AE8" s="2">
        <v>1</v>
      </c>
      <c r="AF8" s="5">
        <v>1</v>
      </c>
    </row>
    <row r="9" spans="1:32">
      <c r="A9" s="12">
        <f>A8+50</f>
        <v>50</v>
      </c>
      <c r="B9" s="5">
        <v>0.995</v>
      </c>
      <c r="C9" s="2">
        <f>((C$6-$L$6)*($B9-$L9))/($B$6-$L$6) + $L9</f>
        <v>0.99470000000000003</v>
      </c>
      <c r="D9" s="2">
        <f>((D$6-$L$6)*($B9-$L9))/($B$6-$L$6) + $L9</f>
        <v>0.99439999999999995</v>
      </c>
      <c r="E9" s="2">
        <f t="shared" ref="E9:K24" si="1">((E$6-$L$6)*($B9-$L9))/($B$6-$L$6) + $L9</f>
        <v>0.99409999999999998</v>
      </c>
      <c r="F9" s="2">
        <f t="shared" si="1"/>
        <v>0.99380000000000002</v>
      </c>
      <c r="G9" s="2">
        <f t="shared" si="1"/>
        <v>0.99350000000000005</v>
      </c>
      <c r="H9" s="2">
        <f t="shared" si="1"/>
        <v>0.99319999999999997</v>
      </c>
      <c r="I9" s="2">
        <f t="shared" si="1"/>
        <v>0.9929</v>
      </c>
      <c r="J9" s="2">
        <f t="shared" si="1"/>
        <v>0.99260000000000004</v>
      </c>
      <c r="K9" s="2">
        <f t="shared" si="1"/>
        <v>0.99229999999999996</v>
      </c>
      <c r="L9" s="5">
        <v>0.99199999999999999</v>
      </c>
      <c r="M9" s="2">
        <f>((M$6-$Q$6)*($L9-$Q9))/($L$6-$Q$6) + $Q9</f>
        <v>0.99160000000000004</v>
      </c>
      <c r="N9" s="2">
        <f>((N$6-$Q$6)*($L9-$Q9))/($L$6-$Q$6) + $Q9</f>
        <v>0.99119999999999997</v>
      </c>
      <c r="O9" s="2">
        <f>((O$6-$Q$6)*($L9-$Q9))/($L$6-$Q$6) + $Q9</f>
        <v>0.99080000000000001</v>
      </c>
      <c r="P9" s="2">
        <f>((P$6-$Q$6)*($L9-$Q9))/($L$6-$Q$6) + $Q9</f>
        <v>0.99039999999999995</v>
      </c>
      <c r="Q9" s="5">
        <v>0.99</v>
      </c>
      <c r="R9" s="2">
        <f>((R$6-$V$6)*($Q9-$V9))/($Q$6-$V$6) + $V9</f>
        <v>0.98899999999999999</v>
      </c>
      <c r="S9" s="2">
        <f t="shared" ref="S9:U24" si="2">((S$6-$V$6)*($Q9-$V9))/($Q$6-$V$6) + $V9</f>
        <v>0.98799999999999999</v>
      </c>
      <c r="T9" s="2">
        <f t="shared" si="2"/>
        <v>0.98699999999999999</v>
      </c>
      <c r="U9" s="2">
        <f t="shared" si="2"/>
        <v>0.98599999999999999</v>
      </c>
      <c r="V9" s="5">
        <v>0.98499999999999999</v>
      </c>
      <c r="W9" s="2">
        <f>((W$6-$AA$6)*($V9-$AA9))/($V$6-$AA$6) + $AA9</f>
        <v>0.98439999999999994</v>
      </c>
      <c r="X9" s="2">
        <f t="shared" ref="X9:Z24" si="3">((X$6-$AA$6)*($V9-$AA9))/($V$6-$AA$6) + $AA9</f>
        <v>0.98380000000000001</v>
      </c>
      <c r="Y9" s="2">
        <f t="shared" si="3"/>
        <v>0.98319999999999996</v>
      </c>
      <c r="Z9" s="2">
        <f t="shared" si="3"/>
        <v>0.98260000000000003</v>
      </c>
      <c r="AA9" s="5">
        <v>0.98199999999999998</v>
      </c>
      <c r="AB9" s="2">
        <f>((AB$6-$AF$6)*($AA9-$AF9))/($AA$6-$AF$6) + $AF9</f>
        <v>0.98160000000000003</v>
      </c>
      <c r="AC9" s="2">
        <f t="shared" ref="AC9:AE24" si="4">((AC$6-$AF$6)*($AA9-$AF9))/($AA$6-$AF$6) + $AF9</f>
        <v>0.98119999999999996</v>
      </c>
      <c r="AD9" s="2">
        <f t="shared" si="4"/>
        <v>0.98080000000000001</v>
      </c>
      <c r="AE9" s="2">
        <f t="shared" si="4"/>
        <v>0.98039999999999994</v>
      </c>
      <c r="AF9" s="5">
        <v>0.98</v>
      </c>
    </row>
    <row r="10" spans="1:32">
      <c r="A10" s="12">
        <f t="shared" ref="A10:A32" si="5">A9+50</f>
        <v>100</v>
      </c>
      <c r="B10" s="5">
        <v>0.99099999999999999</v>
      </c>
      <c r="C10" s="2">
        <f t="shared" ref="C10:K33" si="6">((C$6-$L$6)*($B10-$L10))/($B$6-$L$6) + $L10</f>
        <v>0.99039999999999995</v>
      </c>
      <c r="D10" s="2">
        <f t="shared" si="6"/>
        <v>0.98980000000000001</v>
      </c>
      <c r="E10" s="2">
        <f t="shared" si="1"/>
        <v>0.98919999999999997</v>
      </c>
      <c r="F10" s="2">
        <f t="shared" si="1"/>
        <v>0.98860000000000003</v>
      </c>
      <c r="G10" s="2">
        <f t="shared" si="1"/>
        <v>0.98799999999999999</v>
      </c>
      <c r="H10" s="2">
        <f t="shared" si="1"/>
        <v>0.98739999999999994</v>
      </c>
      <c r="I10" s="2">
        <f t="shared" si="1"/>
        <v>0.98680000000000001</v>
      </c>
      <c r="J10" s="2">
        <f t="shared" si="1"/>
        <v>0.98619999999999997</v>
      </c>
      <c r="K10" s="2">
        <f t="shared" si="1"/>
        <v>0.98560000000000003</v>
      </c>
      <c r="L10" s="5">
        <v>0.98499999999999999</v>
      </c>
      <c r="M10" s="2">
        <f t="shared" ref="M10:P33" si="7">((M$6-$Q$6)*($L10-$Q10))/($L$6-$Q$6) + $Q10</f>
        <v>0.98439999999999994</v>
      </c>
      <c r="N10" s="2">
        <f t="shared" si="7"/>
        <v>0.98380000000000001</v>
      </c>
      <c r="O10" s="2">
        <f t="shared" si="7"/>
        <v>0.98319999999999996</v>
      </c>
      <c r="P10" s="2">
        <f t="shared" si="7"/>
        <v>0.98260000000000003</v>
      </c>
      <c r="Q10" s="5">
        <v>0.98199999999999998</v>
      </c>
      <c r="R10" s="2">
        <f t="shared" ref="R10:U33" si="8">((R$6-$V$6)*($Q10-$V10))/($Q$6-$V$6) + $V10</f>
        <v>0.98060000000000003</v>
      </c>
      <c r="S10" s="2">
        <f t="shared" si="2"/>
        <v>0.97919999999999996</v>
      </c>
      <c r="T10" s="2">
        <f t="shared" si="2"/>
        <v>0.9778</v>
      </c>
      <c r="U10" s="2">
        <f t="shared" si="2"/>
        <v>0.97639999999999993</v>
      </c>
      <c r="V10" s="5">
        <v>0.97499999999999998</v>
      </c>
      <c r="W10" s="2">
        <f t="shared" ref="W10:Z33" si="9">((W$6-$AA$6)*($V10-$AA10))/($V$6-$AA$6) + $AA10</f>
        <v>0.97439999999999993</v>
      </c>
      <c r="X10" s="2">
        <f t="shared" si="3"/>
        <v>0.9738</v>
      </c>
      <c r="Y10" s="2">
        <f t="shared" si="3"/>
        <v>0.97319999999999995</v>
      </c>
      <c r="Z10" s="2">
        <f t="shared" si="3"/>
        <v>0.97260000000000002</v>
      </c>
      <c r="AA10" s="5">
        <v>0.97199999999999998</v>
      </c>
      <c r="AB10" s="2">
        <f t="shared" ref="AB10:AE33" si="10">((AB$6-$AF$6)*($AA10-$AF10))/($AA$6-$AF$6) + $AF10</f>
        <v>0.9708</v>
      </c>
      <c r="AC10" s="2">
        <f t="shared" si="4"/>
        <v>0.96960000000000002</v>
      </c>
      <c r="AD10" s="2">
        <f t="shared" si="4"/>
        <v>0.96839999999999993</v>
      </c>
      <c r="AE10" s="2">
        <f t="shared" si="4"/>
        <v>0.96719999999999995</v>
      </c>
      <c r="AF10" s="5">
        <v>0.96599999999999997</v>
      </c>
    </row>
    <row r="11" spans="1:32">
      <c r="A11" s="12">
        <f t="shared" si="5"/>
        <v>150</v>
      </c>
      <c r="B11" s="5">
        <v>0.98499999999999999</v>
      </c>
      <c r="C11" s="2">
        <f t="shared" si="6"/>
        <v>0.98439999999999994</v>
      </c>
      <c r="D11" s="2">
        <f t="shared" si="6"/>
        <v>0.98380000000000001</v>
      </c>
      <c r="E11" s="2">
        <f t="shared" si="1"/>
        <v>0.98319999999999996</v>
      </c>
      <c r="F11" s="2">
        <f t="shared" si="1"/>
        <v>0.98260000000000003</v>
      </c>
      <c r="G11" s="2">
        <f t="shared" si="1"/>
        <v>0.98199999999999998</v>
      </c>
      <c r="H11" s="2">
        <f t="shared" si="1"/>
        <v>0.98139999999999994</v>
      </c>
      <c r="I11" s="2">
        <f t="shared" si="1"/>
        <v>0.98080000000000001</v>
      </c>
      <c r="J11" s="2">
        <f t="shared" si="1"/>
        <v>0.98019999999999996</v>
      </c>
      <c r="K11" s="2">
        <f t="shared" si="1"/>
        <v>0.97960000000000003</v>
      </c>
      <c r="L11" s="5">
        <v>0.97899999999999998</v>
      </c>
      <c r="M11" s="2">
        <f t="shared" si="7"/>
        <v>0.97799999999999998</v>
      </c>
      <c r="N11" s="2">
        <f t="shared" si="7"/>
        <v>0.97699999999999998</v>
      </c>
      <c r="O11" s="2">
        <f t="shared" si="7"/>
        <v>0.97599999999999998</v>
      </c>
      <c r="P11" s="2">
        <f t="shared" si="7"/>
        <v>0.97499999999999998</v>
      </c>
      <c r="Q11" s="5">
        <v>0.97399999999999998</v>
      </c>
      <c r="R11" s="2">
        <f t="shared" si="8"/>
        <v>0.97260000000000002</v>
      </c>
      <c r="S11" s="2">
        <f t="shared" si="2"/>
        <v>0.97119999999999995</v>
      </c>
      <c r="T11" s="2">
        <f t="shared" si="2"/>
        <v>0.9698</v>
      </c>
      <c r="U11" s="2">
        <f t="shared" si="2"/>
        <v>0.96839999999999993</v>
      </c>
      <c r="V11" s="5">
        <v>0.96699999999999997</v>
      </c>
      <c r="W11" s="2">
        <f t="shared" si="9"/>
        <v>0.96660000000000001</v>
      </c>
      <c r="X11" s="2">
        <f t="shared" si="3"/>
        <v>0.96619999999999995</v>
      </c>
      <c r="Y11" s="2">
        <f t="shared" si="3"/>
        <v>0.96579999999999999</v>
      </c>
      <c r="Z11" s="2">
        <f t="shared" si="3"/>
        <v>0.96539999999999992</v>
      </c>
      <c r="AA11" s="5">
        <v>0.96499999999999997</v>
      </c>
      <c r="AB11" s="2">
        <f t="shared" si="10"/>
        <v>0.96299999999999997</v>
      </c>
      <c r="AC11" s="2">
        <f t="shared" si="4"/>
        <v>0.96099999999999997</v>
      </c>
      <c r="AD11" s="2">
        <f t="shared" si="4"/>
        <v>0.95899999999999996</v>
      </c>
      <c r="AE11" s="2">
        <f t="shared" si="4"/>
        <v>0.95699999999999996</v>
      </c>
      <c r="AF11" s="5">
        <v>0.95499999999999996</v>
      </c>
    </row>
    <row r="12" spans="1:32">
      <c r="A12" s="12">
        <f t="shared" si="5"/>
        <v>200</v>
      </c>
      <c r="B12" s="5">
        <v>0.98</v>
      </c>
      <c r="C12" s="2">
        <f t="shared" si="6"/>
        <v>0.97909999999999997</v>
      </c>
      <c r="D12" s="2">
        <f t="shared" si="6"/>
        <v>0.97819999999999996</v>
      </c>
      <c r="E12" s="2">
        <f t="shared" si="1"/>
        <v>0.97729999999999995</v>
      </c>
      <c r="F12" s="2">
        <f t="shared" si="1"/>
        <v>0.97639999999999993</v>
      </c>
      <c r="G12" s="2">
        <f t="shared" si="1"/>
        <v>0.97550000000000003</v>
      </c>
      <c r="H12" s="2">
        <f t="shared" si="1"/>
        <v>0.97460000000000002</v>
      </c>
      <c r="I12" s="2">
        <f t="shared" si="1"/>
        <v>0.97370000000000001</v>
      </c>
      <c r="J12" s="2">
        <f t="shared" si="1"/>
        <v>0.9728</v>
      </c>
      <c r="K12" s="2">
        <f t="shared" si="1"/>
        <v>0.97189999999999999</v>
      </c>
      <c r="L12" s="5">
        <v>0.97099999999999997</v>
      </c>
      <c r="M12" s="2">
        <f t="shared" si="7"/>
        <v>0.97019999999999995</v>
      </c>
      <c r="N12" s="2">
        <f t="shared" si="7"/>
        <v>0.96939999999999993</v>
      </c>
      <c r="O12" s="2">
        <f t="shared" si="7"/>
        <v>0.96860000000000002</v>
      </c>
      <c r="P12" s="2">
        <f t="shared" si="7"/>
        <v>0.96779999999999999</v>
      </c>
      <c r="Q12" s="5">
        <v>0.96699999999999997</v>
      </c>
      <c r="R12" s="2">
        <f t="shared" si="8"/>
        <v>0.96560000000000001</v>
      </c>
      <c r="S12" s="2">
        <f t="shared" si="2"/>
        <v>0.96419999999999995</v>
      </c>
      <c r="T12" s="2">
        <f t="shared" si="2"/>
        <v>0.96279999999999999</v>
      </c>
      <c r="U12" s="2">
        <f t="shared" si="2"/>
        <v>0.96139999999999992</v>
      </c>
      <c r="V12" s="5">
        <v>0.96</v>
      </c>
      <c r="W12" s="2">
        <f t="shared" si="9"/>
        <v>0.95919999999999994</v>
      </c>
      <c r="X12" s="2">
        <f t="shared" si="3"/>
        <v>0.95839999999999992</v>
      </c>
      <c r="Y12" s="2">
        <f t="shared" si="3"/>
        <v>0.95760000000000001</v>
      </c>
      <c r="Z12" s="2">
        <f t="shared" si="3"/>
        <v>0.95679999999999998</v>
      </c>
      <c r="AA12" s="5">
        <v>0.95599999999999996</v>
      </c>
      <c r="AB12" s="2">
        <f t="shared" si="10"/>
        <v>0.95319999999999994</v>
      </c>
      <c r="AC12" s="2">
        <f t="shared" si="4"/>
        <v>0.95039999999999991</v>
      </c>
      <c r="AD12" s="2">
        <f t="shared" si="4"/>
        <v>0.9476</v>
      </c>
      <c r="AE12" s="2">
        <f t="shared" si="4"/>
        <v>0.94479999999999997</v>
      </c>
      <c r="AF12" s="5">
        <v>0.94199999999999995</v>
      </c>
    </row>
    <row r="13" spans="1:32">
      <c r="A13" s="12">
        <f t="shared" si="5"/>
        <v>250</v>
      </c>
      <c r="B13" s="5">
        <v>0.97399999999999998</v>
      </c>
      <c r="C13" s="2">
        <f t="shared" si="6"/>
        <v>0.97289999999999999</v>
      </c>
      <c r="D13" s="2">
        <f t="shared" si="6"/>
        <v>0.9718</v>
      </c>
      <c r="E13" s="2">
        <f t="shared" si="1"/>
        <v>0.97070000000000001</v>
      </c>
      <c r="F13" s="2">
        <f t="shared" si="1"/>
        <v>0.96960000000000002</v>
      </c>
      <c r="G13" s="2">
        <f t="shared" si="1"/>
        <v>0.96849999999999992</v>
      </c>
      <c r="H13" s="2">
        <f t="shared" si="1"/>
        <v>0.96739999999999993</v>
      </c>
      <c r="I13" s="2">
        <f t="shared" si="1"/>
        <v>0.96629999999999994</v>
      </c>
      <c r="J13" s="2">
        <f t="shared" si="1"/>
        <v>0.96519999999999995</v>
      </c>
      <c r="K13" s="2">
        <f t="shared" si="1"/>
        <v>0.96409999999999996</v>
      </c>
      <c r="L13" s="5">
        <v>0.96299999999999997</v>
      </c>
      <c r="M13" s="2">
        <f t="shared" si="7"/>
        <v>0.96239999999999992</v>
      </c>
      <c r="N13" s="2">
        <f t="shared" si="7"/>
        <v>0.96179999999999999</v>
      </c>
      <c r="O13" s="2">
        <f t="shared" si="7"/>
        <v>0.96119999999999994</v>
      </c>
      <c r="P13" s="2">
        <f t="shared" si="7"/>
        <v>0.96060000000000001</v>
      </c>
      <c r="Q13" s="5">
        <v>0.96</v>
      </c>
      <c r="R13" s="2">
        <f t="shared" si="8"/>
        <v>0.95799999999999996</v>
      </c>
      <c r="S13" s="2">
        <f t="shared" si="2"/>
        <v>0.95599999999999996</v>
      </c>
      <c r="T13" s="2">
        <f t="shared" si="2"/>
        <v>0.95399999999999996</v>
      </c>
      <c r="U13" s="2">
        <f t="shared" si="2"/>
        <v>0.95199999999999996</v>
      </c>
      <c r="V13" s="5">
        <v>0.95</v>
      </c>
      <c r="W13" s="2">
        <f t="shared" si="9"/>
        <v>0.94919999999999993</v>
      </c>
      <c r="X13" s="2">
        <f t="shared" si="3"/>
        <v>0.94839999999999991</v>
      </c>
      <c r="Y13" s="2">
        <f t="shared" si="3"/>
        <v>0.9476</v>
      </c>
      <c r="Z13" s="2">
        <f t="shared" si="3"/>
        <v>0.94679999999999997</v>
      </c>
      <c r="AA13" s="5">
        <v>0.94599999999999995</v>
      </c>
      <c r="AB13" s="2">
        <f t="shared" si="10"/>
        <v>0.94259999999999999</v>
      </c>
      <c r="AC13" s="2">
        <f t="shared" si="4"/>
        <v>0.93920000000000003</v>
      </c>
      <c r="AD13" s="2">
        <f t="shared" si="4"/>
        <v>0.93579999999999997</v>
      </c>
      <c r="AE13" s="2">
        <f t="shared" si="4"/>
        <v>0.93240000000000001</v>
      </c>
      <c r="AF13" s="5">
        <v>0.92900000000000005</v>
      </c>
    </row>
    <row r="14" spans="1:32">
      <c r="A14" s="12">
        <f t="shared" si="5"/>
        <v>300</v>
      </c>
      <c r="B14" s="5">
        <v>0.97</v>
      </c>
      <c r="C14" s="2">
        <f t="shared" si="6"/>
        <v>0.96870000000000001</v>
      </c>
      <c r="D14" s="2">
        <f t="shared" si="6"/>
        <v>0.96739999999999993</v>
      </c>
      <c r="E14" s="2">
        <f t="shared" si="1"/>
        <v>0.96609999999999996</v>
      </c>
      <c r="F14" s="2">
        <f t="shared" si="1"/>
        <v>0.96479999999999999</v>
      </c>
      <c r="G14" s="2">
        <f t="shared" si="1"/>
        <v>0.96350000000000002</v>
      </c>
      <c r="H14" s="2">
        <f t="shared" si="1"/>
        <v>0.96219999999999994</v>
      </c>
      <c r="I14" s="2">
        <f t="shared" si="1"/>
        <v>0.96089999999999998</v>
      </c>
      <c r="J14" s="2">
        <f t="shared" si="1"/>
        <v>0.95960000000000001</v>
      </c>
      <c r="K14" s="2">
        <f t="shared" si="1"/>
        <v>0.95829999999999993</v>
      </c>
      <c r="L14" s="5">
        <v>0.95699999999999996</v>
      </c>
      <c r="M14" s="2">
        <f t="shared" si="7"/>
        <v>0.95619999999999994</v>
      </c>
      <c r="N14" s="2">
        <f t="shared" si="7"/>
        <v>0.95539999999999992</v>
      </c>
      <c r="O14" s="2">
        <f t="shared" si="7"/>
        <v>0.9546</v>
      </c>
      <c r="P14" s="2">
        <f t="shared" si="7"/>
        <v>0.95379999999999998</v>
      </c>
      <c r="Q14" s="5">
        <v>0.95299999999999996</v>
      </c>
      <c r="R14" s="2">
        <f t="shared" si="8"/>
        <v>0.95079999999999998</v>
      </c>
      <c r="S14" s="2">
        <f t="shared" si="2"/>
        <v>0.9486</v>
      </c>
      <c r="T14" s="2">
        <f t="shared" si="2"/>
        <v>0.94639999999999991</v>
      </c>
      <c r="U14" s="2">
        <f t="shared" si="2"/>
        <v>0.94419999999999993</v>
      </c>
      <c r="V14" s="5">
        <v>0.94199999999999995</v>
      </c>
      <c r="W14" s="2">
        <f t="shared" si="9"/>
        <v>0.94079999999999997</v>
      </c>
      <c r="X14" s="2">
        <f t="shared" si="3"/>
        <v>0.93959999999999999</v>
      </c>
      <c r="Y14" s="2">
        <f t="shared" si="3"/>
        <v>0.93840000000000001</v>
      </c>
      <c r="Z14" s="2">
        <f t="shared" si="3"/>
        <v>0.93720000000000003</v>
      </c>
      <c r="AA14" s="5">
        <v>0.93600000000000005</v>
      </c>
      <c r="AB14" s="2">
        <f t="shared" si="10"/>
        <v>0.93280000000000007</v>
      </c>
      <c r="AC14" s="2">
        <f t="shared" si="4"/>
        <v>0.92960000000000009</v>
      </c>
      <c r="AD14" s="2">
        <f t="shared" si="4"/>
        <v>0.9264</v>
      </c>
      <c r="AE14" s="2">
        <f t="shared" si="4"/>
        <v>0.92320000000000002</v>
      </c>
      <c r="AF14" s="5">
        <v>0.92</v>
      </c>
    </row>
    <row r="15" spans="1:32">
      <c r="A15" s="12">
        <f t="shared" si="5"/>
        <v>350</v>
      </c>
      <c r="B15" s="5">
        <v>0.96399999999999997</v>
      </c>
      <c r="C15" s="2">
        <f t="shared" si="6"/>
        <v>0.96279999999999999</v>
      </c>
      <c r="D15" s="2">
        <f t="shared" si="6"/>
        <v>0.96160000000000001</v>
      </c>
      <c r="E15" s="2">
        <f t="shared" si="1"/>
        <v>0.96039999999999992</v>
      </c>
      <c r="F15" s="2">
        <f t="shared" si="1"/>
        <v>0.95919999999999994</v>
      </c>
      <c r="G15" s="2">
        <f t="shared" si="1"/>
        <v>0.95799999999999996</v>
      </c>
      <c r="H15" s="2">
        <f t="shared" si="1"/>
        <v>0.95679999999999998</v>
      </c>
      <c r="I15" s="2">
        <f t="shared" si="1"/>
        <v>0.9556</v>
      </c>
      <c r="J15" s="2">
        <f t="shared" si="1"/>
        <v>0.95439999999999992</v>
      </c>
      <c r="K15" s="2">
        <f t="shared" si="1"/>
        <v>0.95319999999999994</v>
      </c>
      <c r="L15" s="5">
        <v>0.95199999999999996</v>
      </c>
      <c r="M15" s="2">
        <f t="shared" si="7"/>
        <v>0.95099999999999996</v>
      </c>
      <c r="N15" s="2">
        <f t="shared" si="7"/>
        <v>0.95</v>
      </c>
      <c r="O15" s="2">
        <f t="shared" si="7"/>
        <v>0.94899999999999995</v>
      </c>
      <c r="P15" s="2">
        <f t="shared" si="7"/>
        <v>0.94799999999999995</v>
      </c>
      <c r="Q15" s="5">
        <v>0.94699999999999995</v>
      </c>
      <c r="R15" s="2">
        <f t="shared" si="8"/>
        <v>0.9446</v>
      </c>
      <c r="S15" s="2">
        <f t="shared" si="2"/>
        <v>0.94220000000000004</v>
      </c>
      <c r="T15" s="2">
        <f t="shared" si="2"/>
        <v>0.93979999999999997</v>
      </c>
      <c r="U15" s="2">
        <f t="shared" si="2"/>
        <v>0.93740000000000001</v>
      </c>
      <c r="V15" s="5">
        <v>0.93500000000000005</v>
      </c>
      <c r="W15" s="2">
        <f t="shared" si="9"/>
        <v>0.93340000000000001</v>
      </c>
      <c r="X15" s="2">
        <f t="shared" si="3"/>
        <v>0.93180000000000007</v>
      </c>
      <c r="Y15" s="2">
        <f t="shared" si="3"/>
        <v>0.93020000000000003</v>
      </c>
      <c r="Z15" s="2">
        <f t="shared" si="3"/>
        <v>0.92860000000000009</v>
      </c>
      <c r="AA15" s="5">
        <v>0.92700000000000005</v>
      </c>
      <c r="AB15" s="2">
        <f t="shared" si="10"/>
        <v>0.92280000000000006</v>
      </c>
      <c r="AC15" s="2">
        <f t="shared" si="4"/>
        <v>0.91860000000000008</v>
      </c>
      <c r="AD15" s="2">
        <f t="shared" si="4"/>
        <v>0.91439999999999999</v>
      </c>
      <c r="AE15" s="2">
        <f t="shared" si="4"/>
        <v>0.91020000000000001</v>
      </c>
      <c r="AF15" s="5">
        <v>0.90600000000000003</v>
      </c>
    </row>
    <row r="16" spans="1:32">
      <c r="A16" s="12">
        <f t="shared" si="5"/>
        <v>400</v>
      </c>
      <c r="B16" s="5">
        <v>0.96099999999999997</v>
      </c>
      <c r="C16" s="2">
        <f t="shared" si="6"/>
        <v>0.9597</v>
      </c>
      <c r="D16" s="2">
        <f t="shared" si="6"/>
        <v>0.95839999999999992</v>
      </c>
      <c r="E16" s="2">
        <f t="shared" si="1"/>
        <v>0.95709999999999995</v>
      </c>
      <c r="F16" s="2">
        <f t="shared" si="1"/>
        <v>0.95579999999999998</v>
      </c>
      <c r="G16" s="2">
        <f t="shared" si="1"/>
        <v>0.9544999999999999</v>
      </c>
      <c r="H16" s="2">
        <f t="shared" si="1"/>
        <v>0.95319999999999994</v>
      </c>
      <c r="I16" s="2">
        <f t="shared" si="1"/>
        <v>0.95189999999999997</v>
      </c>
      <c r="J16" s="2">
        <f t="shared" si="1"/>
        <v>0.9506</v>
      </c>
      <c r="K16" s="2">
        <f t="shared" si="1"/>
        <v>0.94929999999999992</v>
      </c>
      <c r="L16" s="5">
        <v>0.94799999999999995</v>
      </c>
      <c r="M16" s="2">
        <f t="shared" si="7"/>
        <v>0.94639999999999991</v>
      </c>
      <c r="N16" s="2">
        <f t="shared" si="7"/>
        <v>0.94479999999999997</v>
      </c>
      <c r="O16" s="2">
        <f t="shared" si="7"/>
        <v>0.94319999999999993</v>
      </c>
      <c r="P16" s="2">
        <f t="shared" si="7"/>
        <v>0.94159999999999999</v>
      </c>
      <c r="Q16" s="5">
        <v>0.94</v>
      </c>
      <c r="R16" s="2">
        <f t="shared" si="8"/>
        <v>0.93759999999999999</v>
      </c>
      <c r="S16" s="2">
        <f t="shared" si="2"/>
        <v>0.93520000000000003</v>
      </c>
      <c r="T16" s="2">
        <f t="shared" si="2"/>
        <v>0.93279999999999996</v>
      </c>
      <c r="U16" s="2">
        <f t="shared" si="2"/>
        <v>0.9304</v>
      </c>
      <c r="V16" s="5">
        <v>0.92800000000000005</v>
      </c>
      <c r="W16" s="2">
        <f t="shared" si="9"/>
        <v>0.92560000000000009</v>
      </c>
      <c r="X16" s="2">
        <f t="shared" si="3"/>
        <v>0.92320000000000002</v>
      </c>
      <c r="Y16" s="2">
        <f t="shared" si="3"/>
        <v>0.92080000000000006</v>
      </c>
      <c r="Z16" s="2">
        <f t="shared" si="3"/>
        <v>0.91839999999999999</v>
      </c>
      <c r="AA16" s="5">
        <v>0.91600000000000004</v>
      </c>
      <c r="AB16" s="2">
        <f t="shared" si="10"/>
        <v>0.91100000000000003</v>
      </c>
      <c r="AC16" s="2">
        <f t="shared" si="4"/>
        <v>0.90600000000000003</v>
      </c>
      <c r="AD16" s="2">
        <f t="shared" si="4"/>
        <v>0.90100000000000002</v>
      </c>
      <c r="AE16" s="2">
        <f t="shared" si="4"/>
        <v>0.89600000000000002</v>
      </c>
      <c r="AF16" s="5">
        <v>0.89100000000000001</v>
      </c>
    </row>
    <row r="17" spans="1:32">
      <c r="A17" s="12">
        <f t="shared" si="5"/>
        <v>450</v>
      </c>
      <c r="B17" s="5">
        <v>0.95599999999999996</v>
      </c>
      <c r="C17" s="2">
        <f t="shared" si="6"/>
        <v>0.95469999999999999</v>
      </c>
      <c r="D17" s="2">
        <f t="shared" si="6"/>
        <v>0.95339999999999991</v>
      </c>
      <c r="E17" s="2">
        <f t="shared" si="1"/>
        <v>0.95209999999999995</v>
      </c>
      <c r="F17" s="2">
        <f t="shared" si="1"/>
        <v>0.95079999999999998</v>
      </c>
      <c r="G17" s="2">
        <f t="shared" si="1"/>
        <v>0.94950000000000001</v>
      </c>
      <c r="H17" s="2">
        <f t="shared" si="1"/>
        <v>0.94819999999999993</v>
      </c>
      <c r="I17" s="2">
        <f t="shared" si="1"/>
        <v>0.94689999999999996</v>
      </c>
      <c r="J17" s="2">
        <f t="shared" si="1"/>
        <v>0.9456</v>
      </c>
      <c r="K17" s="2">
        <f t="shared" si="1"/>
        <v>0.94429999999999992</v>
      </c>
      <c r="L17" s="5">
        <v>0.94299999999999995</v>
      </c>
      <c r="M17" s="2">
        <f t="shared" si="7"/>
        <v>0.94079999999999997</v>
      </c>
      <c r="N17" s="2">
        <f t="shared" si="7"/>
        <v>0.93859999999999999</v>
      </c>
      <c r="O17" s="2">
        <f t="shared" si="7"/>
        <v>0.93640000000000001</v>
      </c>
      <c r="P17" s="2">
        <f t="shared" si="7"/>
        <v>0.93420000000000003</v>
      </c>
      <c r="Q17" s="5">
        <v>0.93200000000000005</v>
      </c>
      <c r="R17" s="2">
        <f t="shared" si="8"/>
        <v>0.9294</v>
      </c>
      <c r="S17" s="2">
        <f t="shared" si="2"/>
        <v>0.92680000000000007</v>
      </c>
      <c r="T17" s="2">
        <f t="shared" si="2"/>
        <v>0.92420000000000002</v>
      </c>
      <c r="U17" s="2">
        <f t="shared" si="2"/>
        <v>0.92160000000000009</v>
      </c>
      <c r="V17" s="5">
        <v>0.91900000000000004</v>
      </c>
      <c r="W17" s="2">
        <f t="shared" si="9"/>
        <v>0.91600000000000004</v>
      </c>
      <c r="X17" s="2">
        <f t="shared" si="3"/>
        <v>0.91300000000000003</v>
      </c>
      <c r="Y17" s="2">
        <f t="shared" si="3"/>
        <v>0.91</v>
      </c>
      <c r="Z17" s="2">
        <f t="shared" si="3"/>
        <v>0.90700000000000003</v>
      </c>
      <c r="AA17" s="5">
        <v>0.90400000000000003</v>
      </c>
      <c r="AB17" s="2">
        <f t="shared" si="10"/>
        <v>0.89839999999999998</v>
      </c>
      <c r="AC17" s="2">
        <f t="shared" si="4"/>
        <v>0.89280000000000004</v>
      </c>
      <c r="AD17" s="2">
        <f t="shared" si="4"/>
        <v>0.88719999999999999</v>
      </c>
      <c r="AE17" s="2">
        <f t="shared" si="4"/>
        <v>0.88160000000000005</v>
      </c>
      <c r="AF17" s="5">
        <v>0.876</v>
      </c>
    </row>
    <row r="18" spans="1:32">
      <c r="A18" s="12">
        <f t="shared" si="5"/>
        <v>500</v>
      </c>
      <c r="B18" s="5">
        <v>0.95099999999999996</v>
      </c>
      <c r="C18" s="2">
        <f t="shared" si="6"/>
        <v>0.94940000000000002</v>
      </c>
      <c r="D18" s="2">
        <f t="shared" si="6"/>
        <v>0.94779999999999998</v>
      </c>
      <c r="E18" s="2">
        <f t="shared" si="1"/>
        <v>0.94619999999999993</v>
      </c>
      <c r="F18" s="2">
        <f t="shared" si="1"/>
        <v>0.9446</v>
      </c>
      <c r="G18" s="2">
        <f t="shared" si="1"/>
        <v>0.94300000000000006</v>
      </c>
      <c r="H18" s="2">
        <f t="shared" si="1"/>
        <v>0.94140000000000001</v>
      </c>
      <c r="I18" s="2">
        <f t="shared" si="1"/>
        <v>0.93979999999999997</v>
      </c>
      <c r="J18" s="2">
        <f t="shared" si="1"/>
        <v>0.93820000000000003</v>
      </c>
      <c r="K18" s="2">
        <f t="shared" si="1"/>
        <v>0.9366000000000001</v>
      </c>
      <c r="L18" s="5">
        <v>0.93500000000000005</v>
      </c>
      <c r="M18" s="2">
        <f t="shared" si="7"/>
        <v>0.93300000000000005</v>
      </c>
      <c r="N18" s="2">
        <f t="shared" si="7"/>
        <v>0.93100000000000005</v>
      </c>
      <c r="O18" s="2">
        <f t="shared" si="7"/>
        <v>0.92900000000000005</v>
      </c>
      <c r="P18" s="2">
        <f t="shared" si="7"/>
        <v>0.92700000000000005</v>
      </c>
      <c r="Q18" s="5">
        <v>0.92500000000000004</v>
      </c>
      <c r="R18" s="2">
        <f t="shared" si="8"/>
        <v>0.92200000000000004</v>
      </c>
      <c r="S18" s="2">
        <f t="shared" si="2"/>
        <v>0.91900000000000004</v>
      </c>
      <c r="T18" s="2">
        <f t="shared" si="2"/>
        <v>0.91600000000000004</v>
      </c>
      <c r="U18" s="2">
        <f t="shared" si="2"/>
        <v>0.91300000000000003</v>
      </c>
      <c r="V18" s="5">
        <v>0.91</v>
      </c>
      <c r="W18" s="2">
        <f t="shared" si="9"/>
        <v>0.90660000000000007</v>
      </c>
      <c r="X18" s="2">
        <f t="shared" si="3"/>
        <v>0.9032</v>
      </c>
      <c r="Y18" s="2">
        <f t="shared" si="3"/>
        <v>0.89980000000000004</v>
      </c>
      <c r="Z18" s="2">
        <f t="shared" si="3"/>
        <v>0.89639999999999997</v>
      </c>
      <c r="AA18" s="5">
        <v>0.89300000000000002</v>
      </c>
      <c r="AB18" s="2">
        <f t="shared" si="10"/>
        <v>0.88700000000000001</v>
      </c>
      <c r="AC18" s="2">
        <f t="shared" si="4"/>
        <v>0.88100000000000001</v>
      </c>
      <c r="AD18" s="2">
        <f t="shared" si="4"/>
        <v>0.875</v>
      </c>
      <c r="AE18" s="2">
        <f t="shared" si="4"/>
        <v>0.86899999999999999</v>
      </c>
      <c r="AF18" s="5">
        <v>0.86299999999999999</v>
      </c>
    </row>
    <row r="19" spans="1:32">
      <c r="A19" s="12">
        <f t="shared" si="5"/>
        <v>550</v>
      </c>
      <c r="B19" s="5">
        <v>0.94899999999999995</v>
      </c>
      <c r="C19" s="2">
        <f t="shared" si="6"/>
        <v>0.94709999999999994</v>
      </c>
      <c r="D19" s="2">
        <f t="shared" si="6"/>
        <v>0.94519999999999993</v>
      </c>
      <c r="E19" s="2">
        <f t="shared" si="1"/>
        <v>0.94330000000000003</v>
      </c>
      <c r="F19" s="2">
        <f t="shared" si="1"/>
        <v>0.94140000000000001</v>
      </c>
      <c r="G19" s="2">
        <f t="shared" si="1"/>
        <v>0.9395</v>
      </c>
      <c r="H19" s="2">
        <f t="shared" si="1"/>
        <v>0.93759999999999999</v>
      </c>
      <c r="I19" s="2">
        <f t="shared" si="1"/>
        <v>0.93569999999999998</v>
      </c>
      <c r="J19" s="2">
        <f t="shared" si="1"/>
        <v>0.93380000000000007</v>
      </c>
      <c r="K19" s="2">
        <f t="shared" si="1"/>
        <v>0.93190000000000006</v>
      </c>
      <c r="L19" s="5">
        <v>0.93</v>
      </c>
      <c r="M19" s="2">
        <f t="shared" si="7"/>
        <v>0.92800000000000005</v>
      </c>
      <c r="N19" s="2">
        <f t="shared" si="7"/>
        <v>0.92600000000000005</v>
      </c>
      <c r="O19" s="2">
        <f t="shared" si="7"/>
        <v>0.92400000000000004</v>
      </c>
      <c r="P19" s="2">
        <f t="shared" si="7"/>
        <v>0.92200000000000004</v>
      </c>
      <c r="Q19" s="5">
        <v>0.92</v>
      </c>
      <c r="R19" s="2">
        <f t="shared" si="8"/>
        <v>0.91600000000000004</v>
      </c>
      <c r="S19" s="2">
        <f t="shared" si="2"/>
        <v>0.91200000000000003</v>
      </c>
      <c r="T19" s="2">
        <f t="shared" si="2"/>
        <v>0.90800000000000003</v>
      </c>
      <c r="U19" s="2">
        <f t="shared" si="2"/>
        <v>0.90400000000000003</v>
      </c>
      <c r="V19" s="5">
        <v>0.9</v>
      </c>
      <c r="W19" s="2">
        <f t="shared" si="9"/>
        <v>0.89639999999999997</v>
      </c>
      <c r="X19" s="2">
        <f t="shared" si="3"/>
        <v>0.89280000000000004</v>
      </c>
      <c r="Y19" s="2">
        <f t="shared" si="3"/>
        <v>0.88919999999999999</v>
      </c>
      <c r="Z19" s="2">
        <f t="shared" si="3"/>
        <v>0.88560000000000005</v>
      </c>
      <c r="AA19" s="5">
        <v>0.88200000000000001</v>
      </c>
      <c r="AB19" s="2">
        <f t="shared" si="10"/>
        <v>0.876</v>
      </c>
      <c r="AC19" s="2">
        <f t="shared" si="4"/>
        <v>0.87</v>
      </c>
      <c r="AD19" s="2">
        <f t="shared" si="4"/>
        <v>0.86399999999999999</v>
      </c>
      <c r="AE19" s="2">
        <f t="shared" si="4"/>
        <v>0.85799999999999998</v>
      </c>
      <c r="AF19" s="5">
        <v>0.85199999999999998</v>
      </c>
    </row>
    <row r="20" spans="1:32">
      <c r="A20" s="12">
        <f t="shared" si="5"/>
        <v>600</v>
      </c>
      <c r="B20" s="5">
        <v>0.94499999999999995</v>
      </c>
      <c r="C20" s="2">
        <f t="shared" si="6"/>
        <v>0.94289999999999996</v>
      </c>
      <c r="D20" s="2">
        <f t="shared" si="6"/>
        <v>0.94079999999999997</v>
      </c>
      <c r="E20" s="2">
        <f t="shared" si="1"/>
        <v>0.93869999999999998</v>
      </c>
      <c r="F20" s="2">
        <f t="shared" si="1"/>
        <v>0.93659999999999999</v>
      </c>
      <c r="G20" s="2">
        <f t="shared" si="1"/>
        <v>0.9345</v>
      </c>
      <c r="H20" s="2">
        <f t="shared" si="1"/>
        <v>0.93240000000000001</v>
      </c>
      <c r="I20" s="2">
        <f t="shared" si="1"/>
        <v>0.93030000000000002</v>
      </c>
      <c r="J20" s="2">
        <f t="shared" si="1"/>
        <v>0.92820000000000003</v>
      </c>
      <c r="K20" s="2">
        <f t="shared" si="1"/>
        <v>0.92610000000000003</v>
      </c>
      <c r="L20" s="5">
        <v>0.92400000000000004</v>
      </c>
      <c r="M20" s="2">
        <f t="shared" si="7"/>
        <v>0.9214</v>
      </c>
      <c r="N20" s="2">
        <f t="shared" si="7"/>
        <v>0.91880000000000006</v>
      </c>
      <c r="O20" s="2">
        <f t="shared" si="7"/>
        <v>0.91620000000000001</v>
      </c>
      <c r="P20" s="2">
        <f t="shared" si="7"/>
        <v>0.91360000000000008</v>
      </c>
      <c r="Q20" s="5">
        <v>0.91100000000000003</v>
      </c>
      <c r="R20" s="2">
        <f t="shared" si="8"/>
        <v>0.90680000000000005</v>
      </c>
      <c r="S20" s="2">
        <f t="shared" si="2"/>
        <v>0.90260000000000007</v>
      </c>
      <c r="T20" s="2">
        <f t="shared" si="2"/>
        <v>0.89839999999999998</v>
      </c>
      <c r="U20" s="2">
        <f t="shared" si="2"/>
        <v>0.89419999999999999</v>
      </c>
      <c r="V20" s="5">
        <v>0.89</v>
      </c>
      <c r="W20" s="2">
        <f t="shared" si="9"/>
        <v>0.88639999999999997</v>
      </c>
      <c r="X20" s="2">
        <f t="shared" si="3"/>
        <v>0.88280000000000003</v>
      </c>
      <c r="Y20" s="2">
        <f t="shared" si="3"/>
        <v>0.87919999999999998</v>
      </c>
      <c r="Z20" s="2">
        <f t="shared" si="3"/>
        <v>0.87560000000000004</v>
      </c>
      <c r="AA20" s="5">
        <v>0.872</v>
      </c>
      <c r="AB20" s="2">
        <f t="shared" si="10"/>
        <v>0.86519999999999997</v>
      </c>
      <c r="AC20" s="2">
        <f t="shared" si="4"/>
        <v>0.85839999999999994</v>
      </c>
      <c r="AD20" s="2">
        <f t="shared" si="4"/>
        <v>0.85160000000000002</v>
      </c>
      <c r="AE20" s="2">
        <f t="shared" si="4"/>
        <v>0.8448</v>
      </c>
      <c r="AF20" s="5">
        <v>0.83799999999999997</v>
      </c>
    </row>
    <row r="21" spans="1:32">
      <c r="A21" s="12">
        <f t="shared" si="5"/>
        <v>650</v>
      </c>
      <c r="B21" s="5">
        <v>0.94099999999999995</v>
      </c>
      <c r="C21" s="2">
        <f t="shared" si="6"/>
        <v>0.93879999999999997</v>
      </c>
      <c r="D21" s="2">
        <f t="shared" si="6"/>
        <v>0.93659999999999999</v>
      </c>
      <c r="E21" s="2">
        <f t="shared" si="1"/>
        <v>0.93440000000000001</v>
      </c>
      <c r="F21" s="2">
        <f t="shared" si="1"/>
        <v>0.93220000000000003</v>
      </c>
      <c r="G21" s="2">
        <f t="shared" si="1"/>
        <v>0.92999999999999994</v>
      </c>
      <c r="H21" s="2">
        <f t="shared" si="1"/>
        <v>0.92779999999999996</v>
      </c>
      <c r="I21" s="2">
        <f t="shared" si="1"/>
        <v>0.92559999999999998</v>
      </c>
      <c r="J21" s="2">
        <f t="shared" si="1"/>
        <v>0.9234</v>
      </c>
      <c r="K21" s="2">
        <f t="shared" si="1"/>
        <v>0.92120000000000002</v>
      </c>
      <c r="L21" s="5">
        <v>0.91900000000000004</v>
      </c>
      <c r="M21" s="2">
        <f t="shared" si="7"/>
        <v>0.91539999999999999</v>
      </c>
      <c r="N21" s="2">
        <f t="shared" si="7"/>
        <v>0.91180000000000005</v>
      </c>
      <c r="O21" s="2">
        <f t="shared" si="7"/>
        <v>0.90820000000000001</v>
      </c>
      <c r="P21" s="2">
        <f t="shared" si="7"/>
        <v>0.90460000000000007</v>
      </c>
      <c r="Q21" s="5">
        <v>0.90100000000000002</v>
      </c>
      <c r="R21" s="2">
        <f t="shared" si="8"/>
        <v>0.89680000000000004</v>
      </c>
      <c r="S21" s="2">
        <f t="shared" si="2"/>
        <v>0.89260000000000006</v>
      </c>
      <c r="T21" s="2">
        <f t="shared" si="2"/>
        <v>0.88839999999999997</v>
      </c>
      <c r="U21" s="2">
        <f t="shared" si="2"/>
        <v>0.88419999999999999</v>
      </c>
      <c r="V21" s="5">
        <v>0.88</v>
      </c>
      <c r="W21" s="2">
        <f t="shared" si="9"/>
        <v>0.87619999999999998</v>
      </c>
      <c r="X21" s="2">
        <f t="shared" si="3"/>
        <v>0.87239999999999995</v>
      </c>
      <c r="Y21" s="2">
        <f t="shared" si="3"/>
        <v>0.86860000000000004</v>
      </c>
      <c r="Z21" s="2">
        <f t="shared" si="3"/>
        <v>0.86480000000000001</v>
      </c>
      <c r="AA21" s="5">
        <v>0.86099999999999999</v>
      </c>
      <c r="AB21" s="2">
        <f t="shared" si="10"/>
        <v>0.85339999999999994</v>
      </c>
      <c r="AC21" s="2">
        <f t="shared" si="4"/>
        <v>0.8458</v>
      </c>
      <c r="AD21" s="2">
        <f t="shared" si="4"/>
        <v>0.83819999999999995</v>
      </c>
      <c r="AE21" s="2">
        <f t="shared" si="4"/>
        <v>0.8306</v>
      </c>
      <c r="AF21" s="5">
        <v>0.82299999999999995</v>
      </c>
    </row>
    <row r="22" spans="1:32">
      <c r="A22" s="12">
        <f t="shared" si="5"/>
        <v>700</v>
      </c>
      <c r="B22" s="5">
        <v>0.93700000000000006</v>
      </c>
      <c r="C22" s="2">
        <f t="shared" si="6"/>
        <v>0.93470000000000009</v>
      </c>
      <c r="D22" s="2">
        <f t="shared" si="6"/>
        <v>0.93240000000000001</v>
      </c>
      <c r="E22" s="2">
        <f t="shared" si="1"/>
        <v>0.93010000000000004</v>
      </c>
      <c r="F22" s="2">
        <f t="shared" si="1"/>
        <v>0.92780000000000007</v>
      </c>
      <c r="G22" s="2">
        <f t="shared" si="1"/>
        <v>0.92549999999999999</v>
      </c>
      <c r="H22" s="2">
        <f t="shared" si="1"/>
        <v>0.92320000000000002</v>
      </c>
      <c r="I22" s="2">
        <f t="shared" si="1"/>
        <v>0.92090000000000005</v>
      </c>
      <c r="J22" s="2">
        <f t="shared" si="1"/>
        <v>0.91860000000000008</v>
      </c>
      <c r="K22" s="2">
        <f t="shared" si="1"/>
        <v>0.9163</v>
      </c>
      <c r="L22" s="5">
        <v>0.91400000000000003</v>
      </c>
      <c r="M22" s="2">
        <f t="shared" si="7"/>
        <v>0.91020000000000001</v>
      </c>
      <c r="N22" s="2">
        <f t="shared" si="7"/>
        <v>0.90639999999999998</v>
      </c>
      <c r="O22" s="2">
        <f t="shared" si="7"/>
        <v>0.90260000000000007</v>
      </c>
      <c r="P22" s="2">
        <f t="shared" si="7"/>
        <v>0.89880000000000004</v>
      </c>
      <c r="Q22" s="5">
        <v>0.89500000000000002</v>
      </c>
      <c r="R22" s="2">
        <f t="shared" si="8"/>
        <v>0.89039999999999997</v>
      </c>
      <c r="S22" s="2">
        <f t="shared" si="2"/>
        <v>0.88580000000000003</v>
      </c>
      <c r="T22" s="2">
        <f t="shared" si="2"/>
        <v>0.88119999999999998</v>
      </c>
      <c r="U22" s="2">
        <f t="shared" si="2"/>
        <v>0.87660000000000005</v>
      </c>
      <c r="V22" s="5">
        <v>0.872</v>
      </c>
      <c r="W22" s="2">
        <f t="shared" si="9"/>
        <v>0.86760000000000004</v>
      </c>
      <c r="X22" s="2">
        <f t="shared" si="3"/>
        <v>0.86319999999999997</v>
      </c>
      <c r="Y22" s="2">
        <f t="shared" si="3"/>
        <v>0.85880000000000001</v>
      </c>
      <c r="Z22" s="2">
        <f t="shared" si="3"/>
        <v>0.85439999999999994</v>
      </c>
      <c r="AA22" s="5">
        <v>0.85</v>
      </c>
      <c r="AB22" s="2">
        <f t="shared" si="10"/>
        <v>0.84240000000000004</v>
      </c>
      <c r="AC22" s="2">
        <f t="shared" si="4"/>
        <v>0.83479999999999999</v>
      </c>
      <c r="AD22" s="2">
        <f t="shared" si="4"/>
        <v>0.82720000000000005</v>
      </c>
      <c r="AE22" s="2">
        <f t="shared" si="4"/>
        <v>0.8196</v>
      </c>
      <c r="AF22" s="5">
        <v>0.81200000000000006</v>
      </c>
    </row>
    <row r="23" spans="1:32">
      <c r="A23" s="12">
        <f t="shared" si="5"/>
        <v>750</v>
      </c>
      <c r="B23" s="5">
        <v>0.93200000000000005</v>
      </c>
      <c r="C23" s="2">
        <f t="shared" si="6"/>
        <v>0.9294</v>
      </c>
      <c r="D23" s="2">
        <f t="shared" si="6"/>
        <v>0.92680000000000007</v>
      </c>
      <c r="E23" s="2">
        <f t="shared" si="1"/>
        <v>0.92420000000000002</v>
      </c>
      <c r="F23" s="2">
        <f t="shared" si="1"/>
        <v>0.92160000000000009</v>
      </c>
      <c r="G23" s="2">
        <f t="shared" si="1"/>
        <v>0.91900000000000004</v>
      </c>
      <c r="H23" s="2">
        <f t="shared" si="1"/>
        <v>0.91639999999999999</v>
      </c>
      <c r="I23" s="2">
        <f t="shared" si="1"/>
        <v>0.91380000000000006</v>
      </c>
      <c r="J23" s="2">
        <f t="shared" si="1"/>
        <v>0.91120000000000001</v>
      </c>
      <c r="K23" s="2">
        <f t="shared" si="1"/>
        <v>0.90860000000000007</v>
      </c>
      <c r="L23" s="5">
        <v>0.90600000000000003</v>
      </c>
      <c r="M23" s="2">
        <f t="shared" si="7"/>
        <v>0.9022</v>
      </c>
      <c r="N23" s="2">
        <f t="shared" si="7"/>
        <v>0.89839999999999998</v>
      </c>
      <c r="O23" s="2">
        <f t="shared" si="7"/>
        <v>0.89460000000000006</v>
      </c>
      <c r="P23" s="2">
        <f t="shared" si="7"/>
        <v>0.89080000000000004</v>
      </c>
      <c r="Q23" s="5">
        <v>0.88700000000000001</v>
      </c>
      <c r="R23" s="2">
        <f t="shared" si="8"/>
        <v>0.88239999999999996</v>
      </c>
      <c r="S23" s="2">
        <f t="shared" si="2"/>
        <v>0.87780000000000002</v>
      </c>
      <c r="T23" s="2">
        <f t="shared" si="2"/>
        <v>0.87319999999999998</v>
      </c>
      <c r="U23" s="2">
        <f t="shared" si="2"/>
        <v>0.86860000000000004</v>
      </c>
      <c r="V23" s="5">
        <v>0.86399999999999999</v>
      </c>
      <c r="W23" s="2">
        <f t="shared" si="9"/>
        <v>0.85899999999999999</v>
      </c>
      <c r="X23" s="2">
        <f t="shared" si="3"/>
        <v>0.85399999999999998</v>
      </c>
      <c r="Y23" s="2">
        <f t="shared" si="3"/>
        <v>0.84899999999999998</v>
      </c>
      <c r="Z23" s="2">
        <f t="shared" si="3"/>
        <v>0.84399999999999997</v>
      </c>
      <c r="AA23" s="5">
        <v>0.83899999999999997</v>
      </c>
      <c r="AB23" s="2">
        <f t="shared" si="10"/>
        <v>0.83119999999999994</v>
      </c>
      <c r="AC23" s="2">
        <f t="shared" si="4"/>
        <v>0.82340000000000002</v>
      </c>
      <c r="AD23" s="2">
        <f t="shared" si="4"/>
        <v>0.81559999999999999</v>
      </c>
      <c r="AE23" s="2">
        <f t="shared" si="4"/>
        <v>0.80780000000000007</v>
      </c>
      <c r="AF23" s="5">
        <v>0.8</v>
      </c>
    </row>
    <row r="24" spans="1:32">
      <c r="A24" s="12">
        <f t="shared" si="5"/>
        <v>800</v>
      </c>
      <c r="B24" s="5">
        <v>0.92900000000000005</v>
      </c>
      <c r="C24" s="2">
        <f t="shared" si="6"/>
        <v>0.92610000000000003</v>
      </c>
      <c r="D24" s="2">
        <f t="shared" si="6"/>
        <v>0.92320000000000002</v>
      </c>
      <c r="E24" s="2">
        <f t="shared" si="1"/>
        <v>0.92030000000000001</v>
      </c>
      <c r="F24" s="2">
        <f t="shared" si="1"/>
        <v>0.91739999999999999</v>
      </c>
      <c r="G24" s="2">
        <f t="shared" si="1"/>
        <v>0.91450000000000009</v>
      </c>
      <c r="H24" s="2">
        <f t="shared" si="1"/>
        <v>0.91160000000000008</v>
      </c>
      <c r="I24" s="2">
        <f t="shared" si="1"/>
        <v>0.90870000000000006</v>
      </c>
      <c r="J24" s="2">
        <f t="shared" si="1"/>
        <v>0.90580000000000005</v>
      </c>
      <c r="K24" s="2">
        <f t="shared" si="1"/>
        <v>0.90290000000000004</v>
      </c>
      <c r="L24" s="5">
        <v>0.9</v>
      </c>
      <c r="M24" s="2">
        <f t="shared" si="7"/>
        <v>0.89600000000000002</v>
      </c>
      <c r="N24" s="2">
        <f t="shared" si="7"/>
        <v>0.89200000000000002</v>
      </c>
      <c r="O24" s="2">
        <f t="shared" si="7"/>
        <v>0.88800000000000001</v>
      </c>
      <c r="P24" s="2">
        <f t="shared" si="7"/>
        <v>0.88400000000000001</v>
      </c>
      <c r="Q24" s="5">
        <v>0.88</v>
      </c>
      <c r="R24" s="2">
        <f t="shared" si="8"/>
        <v>0.875</v>
      </c>
      <c r="S24" s="2">
        <f t="shared" si="2"/>
        <v>0.87</v>
      </c>
      <c r="T24" s="2">
        <f t="shared" si="2"/>
        <v>0.86499999999999999</v>
      </c>
      <c r="U24" s="2">
        <f t="shared" si="2"/>
        <v>0.86</v>
      </c>
      <c r="V24" s="5">
        <v>0.85499999999999998</v>
      </c>
      <c r="W24" s="2">
        <f t="shared" si="9"/>
        <v>0.85</v>
      </c>
      <c r="X24" s="2">
        <f t="shared" si="3"/>
        <v>0.84499999999999997</v>
      </c>
      <c r="Y24" s="2">
        <f t="shared" si="3"/>
        <v>0.84</v>
      </c>
      <c r="Z24" s="2">
        <f t="shared" si="3"/>
        <v>0.83499999999999996</v>
      </c>
      <c r="AA24" s="5">
        <v>0.83</v>
      </c>
      <c r="AB24" s="2">
        <f t="shared" si="10"/>
        <v>0.82099999999999995</v>
      </c>
      <c r="AC24" s="2">
        <f t="shared" si="4"/>
        <v>0.81199999999999994</v>
      </c>
      <c r="AD24" s="2">
        <f t="shared" si="4"/>
        <v>0.80300000000000005</v>
      </c>
      <c r="AE24" s="2">
        <f t="shared" si="4"/>
        <v>0.79400000000000004</v>
      </c>
      <c r="AF24" s="5">
        <v>0.78500000000000003</v>
      </c>
    </row>
    <row r="25" spans="1:32">
      <c r="A25" s="12">
        <f t="shared" si="5"/>
        <v>850</v>
      </c>
      <c r="B25" s="5">
        <v>0.92500000000000004</v>
      </c>
      <c r="C25" s="2">
        <f t="shared" si="6"/>
        <v>0.92170000000000007</v>
      </c>
      <c r="D25" s="2">
        <f t="shared" si="6"/>
        <v>0.91839999999999999</v>
      </c>
      <c r="E25" s="2">
        <f t="shared" si="6"/>
        <v>0.91510000000000002</v>
      </c>
      <c r="F25" s="2">
        <f t="shared" si="6"/>
        <v>0.91180000000000005</v>
      </c>
      <c r="G25" s="2">
        <f t="shared" si="6"/>
        <v>0.90850000000000009</v>
      </c>
      <c r="H25" s="2">
        <f t="shared" si="6"/>
        <v>0.9052</v>
      </c>
      <c r="I25" s="2">
        <f t="shared" si="6"/>
        <v>0.90190000000000003</v>
      </c>
      <c r="J25" s="2">
        <f t="shared" si="6"/>
        <v>0.89860000000000007</v>
      </c>
      <c r="K25" s="2">
        <f t="shared" si="6"/>
        <v>0.89529999999999998</v>
      </c>
      <c r="L25" s="5">
        <v>0.89200000000000002</v>
      </c>
      <c r="M25" s="2">
        <f t="shared" si="7"/>
        <v>0.88800000000000001</v>
      </c>
      <c r="N25" s="2">
        <f t="shared" si="7"/>
        <v>0.88400000000000001</v>
      </c>
      <c r="O25" s="2">
        <f t="shared" si="7"/>
        <v>0.88</v>
      </c>
      <c r="P25" s="2">
        <f t="shared" si="7"/>
        <v>0.876</v>
      </c>
      <c r="Q25" s="5">
        <v>0.872</v>
      </c>
      <c r="R25" s="2">
        <f t="shared" si="8"/>
        <v>0.86660000000000004</v>
      </c>
      <c r="S25" s="2">
        <f t="shared" si="8"/>
        <v>0.86119999999999997</v>
      </c>
      <c r="T25" s="2">
        <f t="shared" si="8"/>
        <v>0.85580000000000001</v>
      </c>
      <c r="U25" s="2">
        <f t="shared" si="8"/>
        <v>0.85039999999999993</v>
      </c>
      <c r="V25" s="5">
        <v>0.84499999999999997</v>
      </c>
      <c r="W25" s="2">
        <f t="shared" si="9"/>
        <v>0.84</v>
      </c>
      <c r="X25" s="2">
        <f t="shared" si="9"/>
        <v>0.83499999999999996</v>
      </c>
      <c r="Y25" s="2">
        <f t="shared" si="9"/>
        <v>0.83</v>
      </c>
      <c r="Z25" s="2">
        <f t="shared" si="9"/>
        <v>0.82499999999999996</v>
      </c>
      <c r="AA25" s="5">
        <v>0.82</v>
      </c>
      <c r="AB25" s="2">
        <f t="shared" si="10"/>
        <v>0.81019999999999992</v>
      </c>
      <c r="AC25" s="2">
        <f t="shared" si="10"/>
        <v>0.8004</v>
      </c>
      <c r="AD25" s="2">
        <f t="shared" si="10"/>
        <v>0.79059999999999997</v>
      </c>
      <c r="AE25" s="2">
        <f t="shared" si="10"/>
        <v>0.78080000000000005</v>
      </c>
      <c r="AF25" s="5">
        <v>0.77100000000000002</v>
      </c>
    </row>
    <row r="26" spans="1:32">
      <c r="A26" s="12">
        <f t="shared" si="5"/>
        <v>900</v>
      </c>
      <c r="B26" s="5">
        <v>0.92100000000000004</v>
      </c>
      <c r="C26" s="2">
        <f t="shared" si="6"/>
        <v>0.91749999999999998</v>
      </c>
      <c r="D26" s="2">
        <f t="shared" si="6"/>
        <v>0.91400000000000003</v>
      </c>
      <c r="E26" s="2">
        <f t="shared" si="6"/>
        <v>0.91049999999999998</v>
      </c>
      <c r="F26" s="2">
        <f t="shared" si="6"/>
        <v>0.90700000000000003</v>
      </c>
      <c r="G26" s="2">
        <f t="shared" si="6"/>
        <v>0.90349999999999997</v>
      </c>
      <c r="H26" s="2">
        <f t="shared" si="6"/>
        <v>0.9</v>
      </c>
      <c r="I26" s="2">
        <f t="shared" si="6"/>
        <v>0.89650000000000007</v>
      </c>
      <c r="J26" s="2">
        <f t="shared" si="6"/>
        <v>0.89300000000000002</v>
      </c>
      <c r="K26" s="2">
        <f t="shared" si="6"/>
        <v>0.88949999999999996</v>
      </c>
      <c r="L26" s="5">
        <v>0.88600000000000001</v>
      </c>
      <c r="M26" s="2">
        <f t="shared" si="7"/>
        <v>0.88180000000000003</v>
      </c>
      <c r="N26" s="2">
        <f t="shared" si="7"/>
        <v>0.87760000000000005</v>
      </c>
      <c r="O26" s="2">
        <f t="shared" si="7"/>
        <v>0.87339999999999995</v>
      </c>
      <c r="P26" s="2">
        <f t="shared" si="7"/>
        <v>0.86919999999999997</v>
      </c>
      <c r="Q26" s="5">
        <v>0.86499999999999999</v>
      </c>
      <c r="R26" s="2">
        <f t="shared" si="8"/>
        <v>0.85919999999999996</v>
      </c>
      <c r="S26" s="2">
        <f t="shared" si="8"/>
        <v>0.85339999999999994</v>
      </c>
      <c r="T26" s="2">
        <f t="shared" si="8"/>
        <v>0.84760000000000002</v>
      </c>
      <c r="U26" s="2">
        <f t="shared" si="8"/>
        <v>0.84179999999999999</v>
      </c>
      <c r="V26" s="5">
        <v>0.83599999999999997</v>
      </c>
      <c r="W26" s="2">
        <f t="shared" si="9"/>
        <v>0.8306</v>
      </c>
      <c r="X26" s="2">
        <f t="shared" si="9"/>
        <v>0.82520000000000004</v>
      </c>
      <c r="Y26" s="2">
        <f t="shared" si="9"/>
        <v>0.81979999999999997</v>
      </c>
      <c r="Z26" s="2">
        <f t="shared" si="9"/>
        <v>0.81440000000000001</v>
      </c>
      <c r="AA26" s="5">
        <v>0.80900000000000005</v>
      </c>
      <c r="AB26" s="2">
        <f t="shared" si="10"/>
        <v>0.79880000000000007</v>
      </c>
      <c r="AC26" s="2">
        <f t="shared" si="10"/>
        <v>0.78860000000000008</v>
      </c>
      <c r="AD26" s="2">
        <f t="shared" si="10"/>
        <v>0.77839999999999998</v>
      </c>
      <c r="AE26" s="2">
        <f t="shared" si="10"/>
        <v>0.76819999999999999</v>
      </c>
      <c r="AF26" s="5">
        <v>0.75800000000000001</v>
      </c>
    </row>
    <row r="27" spans="1:32">
      <c r="A27" s="12">
        <f t="shared" si="5"/>
        <v>950</v>
      </c>
      <c r="B27" s="5">
        <v>0.91800000000000004</v>
      </c>
      <c r="C27" s="2">
        <f t="shared" si="6"/>
        <v>0.91420000000000001</v>
      </c>
      <c r="D27" s="2">
        <f t="shared" si="6"/>
        <v>0.91039999999999999</v>
      </c>
      <c r="E27" s="2">
        <f t="shared" si="6"/>
        <v>0.90660000000000007</v>
      </c>
      <c r="F27" s="2">
        <f t="shared" si="6"/>
        <v>0.90280000000000005</v>
      </c>
      <c r="G27" s="2">
        <f t="shared" si="6"/>
        <v>0.89900000000000002</v>
      </c>
      <c r="H27" s="2">
        <f t="shared" si="6"/>
        <v>0.8952</v>
      </c>
      <c r="I27" s="2">
        <f t="shared" si="6"/>
        <v>0.89139999999999997</v>
      </c>
      <c r="J27" s="2">
        <f t="shared" si="6"/>
        <v>0.88760000000000006</v>
      </c>
      <c r="K27" s="2">
        <f t="shared" si="6"/>
        <v>0.88380000000000003</v>
      </c>
      <c r="L27" s="5">
        <v>0.88</v>
      </c>
      <c r="M27" s="2">
        <f t="shared" si="7"/>
        <v>0.87580000000000002</v>
      </c>
      <c r="N27" s="2">
        <f t="shared" si="7"/>
        <v>0.87160000000000004</v>
      </c>
      <c r="O27" s="2">
        <f t="shared" si="7"/>
        <v>0.86739999999999995</v>
      </c>
      <c r="P27" s="2">
        <f t="shared" si="7"/>
        <v>0.86319999999999997</v>
      </c>
      <c r="Q27" s="5">
        <v>0.85899999999999999</v>
      </c>
      <c r="R27" s="2">
        <f t="shared" si="8"/>
        <v>0.8528</v>
      </c>
      <c r="S27" s="2">
        <f t="shared" si="8"/>
        <v>0.84660000000000002</v>
      </c>
      <c r="T27" s="2">
        <f t="shared" si="8"/>
        <v>0.84039999999999992</v>
      </c>
      <c r="U27" s="2">
        <f t="shared" si="8"/>
        <v>0.83419999999999994</v>
      </c>
      <c r="V27" s="5">
        <v>0.82799999999999996</v>
      </c>
      <c r="W27" s="2">
        <f t="shared" si="9"/>
        <v>0.82140000000000002</v>
      </c>
      <c r="X27" s="2">
        <f t="shared" si="9"/>
        <v>0.81479999999999997</v>
      </c>
      <c r="Y27" s="2">
        <f t="shared" si="9"/>
        <v>0.80820000000000003</v>
      </c>
      <c r="Z27" s="2">
        <f t="shared" si="9"/>
        <v>0.80159999999999998</v>
      </c>
      <c r="AA27" s="5">
        <v>0.79500000000000004</v>
      </c>
      <c r="AB27" s="2">
        <f t="shared" si="10"/>
        <v>0.78420000000000001</v>
      </c>
      <c r="AC27" s="2">
        <f t="shared" si="10"/>
        <v>0.77339999999999998</v>
      </c>
      <c r="AD27" s="2">
        <f t="shared" si="10"/>
        <v>0.76260000000000006</v>
      </c>
      <c r="AE27" s="2">
        <f t="shared" si="10"/>
        <v>0.75180000000000002</v>
      </c>
      <c r="AF27" s="5">
        <v>0.74099999999999999</v>
      </c>
    </row>
    <row r="28" spans="1:32">
      <c r="A28" s="12">
        <f t="shared" si="5"/>
        <v>1000</v>
      </c>
      <c r="B28" s="5">
        <v>0.91300000000000003</v>
      </c>
      <c r="C28" s="2">
        <f t="shared" si="6"/>
        <v>0.90880000000000005</v>
      </c>
      <c r="D28" s="2">
        <f t="shared" si="6"/>
        <v>0.90460000000000007</v>
      </c>
      <c r="E28" s="2">
        <f t="shared" si="6"/>
        <v>0.90039999999999998</v>
      </c>
      <c r="F28" s="2">
        <f t="shared" si="6"/>
        <v>0.8962</v>
      </c>
      <c r="G28" s="2">
        <f t="shared" si="6"/>
        <v>0.89200000000000002</v>
      </c>
      <c r="H28" s="2">
        <f t="shared" si="6"/>
        <v>0.88780000000000003</v>
      </c>
      <c r="I28" s="2">
        <f t="shared" si="6"/>
        <v>0.88360000000000005</v>
      </c>
      <c r="J28" s="2">
        <f t="shared" si="6"/>
        <v>0.87939999999999996</v>
      </c>
      <c r="K28" s="2">
        <f t="shared" si="6"/>
        <v>0.87519999999999998</v>
      </c>
      <c r="L28" s="5">
        <v>0.871</v>
      </c>
      <c r="M28" s="2">
        <f t="shared" si="7"/>
        <v>0.86699999999999999</v>
      </c>
      <c r="N28" s="2">
        <f t="shared" si="7"/>
        <v>0.86299999999999999</v>
      </c>
      <c r="O28" s="2">
        <f t="shared" si="7"/>
        <v>0.85899999999999999</v>
      </c>
      <c r="P28" s="2">
        <f t="shared" si="7"/>
        <v>0.85499999999999998</v>
      </c>
      <c r="Q28" s="5">
        <v>0.85099999999999998</v>
      </c>
      <c r="R28" s="2">
        <f t="shared" si="8"/>
        <v>0.84460000000000002</v>
      </c>
      <c r="S28" s="2">
        <f t="shared" si="8"/>
        <v>0.83819999999999995</v>
      </c>
      <c r="T28" s="2">
        <f t="shared" si="8"/>
        <v>0.83179999999999998</v>
      </c>
      <c r="U28" s="2">
        <f t="shared" si="8"/>
        <v>0.82539999999999991</v>
      </c>
      <c r="V28" s="5">
        <v>0.81899999999999995</v>
      </c>
      <c r="W28" s="2">
        <f t="shared" si="9"/>
        <v>0.81199999999999994</v>
      </c>
      <c r="X28" s="2">
        <f t="shared" si="9"/>
        <v>0.80499999999999994</v>
      </c>
      <c r="Y28" s="2">
        <f t="shared" si="9"/>
        <v>0.79800000000000004</v>
      </c>
      <c r="Z28" s="2">
        <f t="shared" si="9"/>
        <v>0.79100000000000004</v>
      </c>
      <c r="AA28" s="5">
        <v>0.78400000000000003</v>
      </c>
      <c r="AB28" s="2">
        <f t="shared" si="10"/>
        <v>0.77239999999999998</v>
      </c>
      <c r="AC28" s="2">
        <f t="shared" si="10"/>
        <v>0.76080000000000003</v>
      </c>
      <c r="AD28" s="2">
        <f t="shared" si="10"/>
        <v>0.74919999999999998</v>
      </c>
      <c r="AE28" s="2">
        <f t="shared" si="10"/>
        <v>0.73760000000000003</v>
      </c>
      <c r="AF28" s="5">
        <v>0.72599999999999998</v>
      </c>
    </row>
    <row r="29" spans="1:32">
      <c r="A29" s="12">
        <f t="shared" si="5"/>
        <v>1050</v>
      </c>
      <c r="B29" s="5">
        <v>0.90900000000000003</v>
      </c>
      <c r="C29" s="2">
        <f t="shared" si="6"/>
        <v>0.90460000000000007</v>
      </c>
      <c r="D29" s="2">
        <f t="shared" si="6"/>
        <v>0.9002</v>
      </c>
      <c r="E29" s="2">
        <f t="shared" si="6"/>
        <v>0.89580000000000004</v>
      </c>
      <c r="F29" s="2">
        <f t="shared" si="6"/>
        <v>0.89139999999999997</v>
      </c>
      <c r="G29" s="2">
        <f t="shared" si="6"/>
        <v>0.88700000000000001</v>
      </c>
      <c r="H29" s="2">
        <f t="shared" si="6"/>
        <v>0.88260000000000005</v>
      </c>
      <c r="I29" s="2">
        <f t="shared" si="6"/>
        <v>0.87819999999999998</v>
      </c>
      <c r="J29" s="2">
        <f t="shared" si="6"/>
        <v>0.87380000000000002</v>
      </c>
      <c r="K29" s="2">
        <f t="shared" si="6"/>
        <v>0.86939999999999995</v>
      </c>
      <c r="L29" s="5">
        <v>0.86499999999999999</v>
      </c>
      <c r="M29" s="2">
        <f t="shared" si="7"/>
        <v>0.86</v>
      </c>
      <c r="N29" s="2">
        <f t="shared" si="7"/>
        <v>0.85499999999999998</v>
      </c>
      <c r="O29" s="2">
        <f t="shared" si="7"/>
        <v>0.85</v>
      </c>
      <c r="P29" s="2">
        <f t="shared" si="7"/>
        <v>0.84499999999999997</v>
      </c>
      <c r="Q29" s="5">
        <v>0.84</v>
      </c>
      <c r="R29" s="2">
        <f t="shared" si="8"/>
        <v>0.83399999999999996</v>
      </c>
      <c r="S29" s="2">
        <f t="shared" si="8"/>
        <v>0.82799999999999996</v>
      </c>
      <c r="T29" s="2">
        <f t="shared" si="8"/>
        <v>0.82200000000000006</v>
      </c>
      <c r="U29" s="2">
        <f t="shared" si="8"/>
        <v>0.81600000000000006</v>
      </c>
      <c r="V29" s="5">
        <v>0.81</v>
      </c>
      <c r="W29" s="2">
        <f t="shared" si="9"/>
        <v>0.80280000000000007</v>
      </c>
      <c r="X29" s="2">
        <f t="shared" si="9"/>
        <v>0.79560000000000008</v>
      </c>
      <c r="Y29" s="2">
        <f t="shared" si="9"/>
        <v>0.78839999999999999</v>
      </c>
      <c r="Z29" s="2">
        <f t="shared" si="9"/>
        <v>0.78120000000000001</v>
      </c>
      <c r="AA29" s="5">
        <v>0.77400000000000002</v>
      </c>
      <c r="AB29" s="2">
        <f t="shared" si="10"/>
        <v>0.76200000000000001</v>
      </c>
      <c r="AC29" s="2">
        <f t="shared" si="10"/>
        <v>0.75</v>
      </c>
      <c r="AD29" s="2">
        <f t="shared" si="10"/>
        <v>0.73799999999999999</v>
      </c>
      <c r="AE29" s="2">
        <f t="shared" si="10"/>
        <v>0.72599999999999998</v>
      </c>
      <c r="AF29" s="5">
        <v>0.71399999999999997</v>
      </c>
    </row>
    <row r="30" spans="1:32">
      <c r="A30" s="12">
        <f t="shared" si="5"/>
        <v>1100</v>
      </c>
      <c r="B30" s="5">
        <v>0.90400000000000003</v>
      </c>
      <c r="C30" s="2">
        <f t="shared" si="6"/>
        <v>0.89960000000000007</v>
      </c>
      <c r="D30" s="2">
        <f t="shared" si="6"/>
        <v>0.8952</v>
      </c>
      <c r="E30" s="2">
        <f t="shared" si="6"/>
        <v>0.89080000000000004</v>
      </c>
      <c r="F30" s="2">
        <f t="shared" si="6"/>
        <v>0.88639999999999997</v>
      </c>
      <c r="G30" s="2">
        <f t="shared" si="6"/>
        <v>0.88200000000000001</v>
      </c>
      <c r="H30" s="2">
        <f t="shared" si="6"/>
        <v>0.87760000000000005</v>
      </c>
      <c r="I30" s="2">
        <f t="shared" si="6"/>
        <v>0.87319999999999998</v>
      </c>
      <c r="J30" s="2">
        <f t="shared" si="6"/>
        <v>0.86880000000000002</v>
      </c>
      <c r="K30" s="2">
        <f t="shared" si="6"/>
        <v>0.86439999999999995</v>
      </c>
      <c r="L30" s="5">
        <v>0.86</v>
      </c>
      <c r="M30" s="2">
        <f t="shared" si="7"/>
        <v>0.8548</v>
      </c>
      <c r="N30" s="2">
        <f t="shared" si="7"/>
        <v>0.84960000000000002</v>
      </c>
      <c r="O30" s="2">
        <f t="shared" si="7"/>
        <v>0.84439999999999993</v>
      </c>
      <c r="P30" s="2">
        <f t="shared" si="7"/>
        <v>0.83919999999999995</v>
      </c>
      <c r="Q30" s="5">
        <v>0.83399999999999996</v>
      </c>
      <c r="R30" s="2">
        <f t="shared" si="8"/>
        <v>0.82740000000000002</v>
      </c>
      <c r="S30" s="2">
        <f t="shared" si="8"/>
        <v>0.82079999999999997</v>
      </c>
      <c r="T30" s="2">
        <f t="shared" si="8"/>
        <v>0.81420000000000003</v>
      </c>
      <c r="U30" s="2">
        <f t="shared" si="8"/>
        <v>0.80759999999999998</v>
      </c>
      <c r="V30" s="5">
        <v>0.80100000000000005</v>
      </c>
      <c r="W30" s="2">
        <f t="shared" si="9"/>
        <v>0.79300000000000004</v>
      </c>
      <c r="X30" s="2">
        <f t="shared" si="9"/>
        <v>0.78500000000000003</v>
      </c>
      <c r="Y30" s="2">
        <f t="shared" si="9"/>
        <v>0.77700000000000002</v>
      </c>
      <c r="Z30" s="2">
        <f t="shared" si="9"/>
        <v>0.76900000000000002</v>
      </c>
      <c r="AA30" s="5">
        <v>0.76100000000000001</v>
      </c>
      <c r="AB30" s="2">
        <f t="shared" si="10"/>
        <v>0.749</v>
      </c>
      <c r="AC30" s="2">
        <f t="shared" si="10"/>
        <v>0.73699999999999999</v>
      </c>
      <c r="AD30" s="2">
        <f t="shared" si="10"/>
        <v>0.72499999999999998</v>
      </c>
      <c r="AE30" s="2">
        <f t="shared" si="10"/>
        <v>0.71299999999999997</v>
      </c>
      <c r="AF30" s="5">
        <v>0.70099999999999996</v>
      </c>
    </row>
    <row r="31" spans="1:32">
      <c r="A31" s="12">
        <f t="shared" si="5"/>
        <v>1150</v>
      </c>
      <c r="B31" s="5">
        <v>0.9</v>
      </c>
      <c r="C31" s="2">
        <f t="shared" si="6"/>
        <v>0.89549999999999996</v>
      </c>
      <c r="D31" s="2">
        <f t="shared" si="6"/>
        <v>0.89100000000000001</v>
      </c>
      <c r="E31" s="2">
        <f t="shared" si="6"/>
        <v>0.88650000000000007</v>
      </c>
      <c r="F31" s="2">
        <f t="shared" si="6"/>
        <v>0.88200000000000001</v>
      </c>
      <c r="G31" s="2">
        <f t="shared" si="6"/>
        <v>0.87749999999999995</v>
      </c>
      <c r="H31" s="2">
        <f t="shared" si="6"/>
        <v>0.873</v>
      </c>
      <c r="I31" s="2">
        <f t="shared" si="6"/>
        <v>0.86850000000000005</v>
      </c>
      <c r="J31" s="2">
        <f t="shared" si="6"/>
        <v>0.86399999999999999</v>
      </c>
      <c r="K31" s="2">
        <f t="shared" si="6"/>
        <v>0.85949999999999993</v>
      </c>
      <c r="L31" s="5">
        <v>0.85499999999999998</v>
      </c>
      <c r="M31" s="2">
        <f t="shared" si="7"/>
        <v>0.8498</v>
      </c>
      <c r="N31" s="2">
        <f t="shared" si="7"/>
        <v>0.84460000000000002</v>
      </c>
      <c r="O31" s="2">
        <f t="shared" si="7"/>
        <v>0.83939999999999992</v>
      </c>
      <c r="P31" s="2">
        <f t="shared" si="7"/>
        <v>0.83419999999999994</v>
      </c>
      <c r="Q31" s="5">
        <v>0.82899999999999996</v>
      </c>
      <c r="R31" s="2">
        <f t="shared" si="8"/>
        <v>0.8216</v>
      </c>
      <c r="S31" s="2">
        <f t="shared" si="8"/>
        <v>0.81420000000000003</v>
      </c>
      <c r="T31" s="2">
        <f t="shared" si="8"/>
        <v>0.80679999999999996</v>
      </c>
      <c r="U31" s="2">
        <f t="shared" si="8"/>
        <v>0.7994</v>
      </c>
      <c r="V31" s="5">
        <v>0.79200000000000004</v>
      </c>
      <c r="W31" s="2">
        <f t="shared" si="9"/>
        <v>0.78400000000000003</v>
      </c>
      <c r="X31" s="2">
        <f t="shared" si="9"/>
        <v>0.77600000000000002</v>
      </c>
      <c r="Y31" s="2">
        <f t="shared" si="9"/>
        <v>0.76800000000000002</v>
      </c>
      <c r="Z31" s="2">
        <f t="shared" si="9"/>
        <v>0.76</v>
      </c>
      <c r="AA31" s="5">
        <v>0.752</v>
      </c>
      <c r="AB31" s="2">
        <f t="shared" si="10"/>
        <v>0.73939999999999995</v>
      </c>
      <c r="AC31" s="2">
        <f t="shared" si="10"/>
        <v>0.7268</v>
      </c>
      <c r="AD31" s="2">
        <f t="shared" si="10"/>
        <v>0.71419999999999995</v>
      </c>
      <c r="AE31" s="2">
        <f t="shared" si="10"/>
        <v>0.7016</v>
      </c>
      <c r="AF31" s="5">
        <v>0.68899999999999995</v>
      </c>
    </row>
    <row r="32" spans="1:32">
      <c r="A32" s="12">
        <f t="shared" si="5"/>
        <v>1200</v>
      </c>
      <c r="B32" s="5">
        <v>0.89500000000000002</v>
      </c>
      <c r="C32" s="2">
        <f t="shared" si="6"/>
        <v>0.89050000000000007</v>
      </c>
      <c r="D32" s="2">
        <f t="shared" si="6"/>
        <v>0.88600000000000001</v>
      </c>
      <c r="E32" s="2">
        <f t="shared" si="6"/>
        <v>0.88149999999999995</v>
      </c>
      <c r="F32" s="2">
        <f t="shared" si="6"/>
        <v>0.877</v>
      </c>
      <c r="G32" s="2">
        <f t="shared" si="6"/>
        <v>0.87249999999999994</v>
      </c>
      <c r="H32" s="2">
        <f t="shared" si="6"/>
        <v>0.86799999999999999</v>
      </c>
      <c r="I32" s="2">
        <f t="shared" si="6"/>
        <v>0.86349999999999993</v>
      </c>
      <c r="J32" s="2">
        <f t="shared" si="6"/>
        <v>0.85899999999999999</v>
      </c>
      <c r="K32" s="2">
        <f t="shared" si="6"/>
        <v>0.85450000000000004</v>
      </c>
      <c r="L32" s="5">
        <v>0.85</v>
      </c>
      <c r="M32" s="2">
        <f t="shared" si="7"/>
        <v>0.84460000000000002</v>
      </c>
      <c r="N32" s="2">
        <f t="shared" si="7"/>
        <v>0.83919999999999995</v>
      </c>
      <c r="O32" s="2">
        <f t="shared" si="7"/>
        <v>0.83379999999999999</v>
      </c>
      <c r="P32" s="2">
        <f t="shared" si="7"/>
        <v>0.82839999999999991</v>
      </c>
      <c r="Q32" s="5">
        <v>0.82299999999999995</v>
      </c>
      <c r="R32" s="2">
        <f t="shared" si="8"/>
        <v>0.81559999999999999</v>
      </c>
      <c r="S32" s="2">
        <f t="shared" si="8"/>
        <v>0.80820000000000003</v>
      </c>
      <c r="T32" s="2">
        <f t="shared" si="8"/>
        <v>0.80079999999999996</v>
      </c>
      <c r="U32" s="2">
        <f t="shared" si="8"/>
        <v>0.79339999999999999</v>
      </c>
      <c r="V32" s="5">
        <v>0.78600000000000003</v>
      </c>
      <c r="W32" s="2">
        <f t="shared" si="9"/>
        <v>0.77760000000000007</v>
      </c>
      <c r="X32" s="2">
        <f t="shared" si="9"/>
        <v>0.76919999999999999</v>
      </c>
      <c r="Y32" s="2">
        <f t="shared" si="9"/>
        <v>0.76080000000000003</v>
      </c>
      <c r="Z32" s="2">
        <f t="shared" si="9"/>
        <v>0.75239999999999996</v>
      </c>
      <c r="AA32" s="5">
        <v>0.74399999999999999</v>
      </c>
      <c r="AB32" s="2">
        <f t="shared" si="10"/>
        <v>0.73040000000000005</v>
      </c>
      <c r="AC32" s="2">
        <f t="shared" si="10"/>
        <v>0.71679999999999999</v>
      </c>
      <c r="AD32" s="2">
        <f t="shared" si="10"/>
        <v>0.70320000000000005</v>
      </c>
      <c r="AE32" s="2">
        <f t="shared" si="10"/>
        <v>0.68959999999999999</v>
      </c>
      <c r="AF32" s="5">
        <v>0.67600000000000005</v>
      </c>
    </row>
    <row r="33" spans="1:32">
      <c r="A33" s="12">
        <f>A32+50</f>
        <v>1250</v>
      </c>
      <c r="B33" s="5">
        <v>0.89</v>
      </c>
      <c r="C33" s="2">
        <f t="shared" si="6"/>
        <v>0.88549999999999995</v>
      </c>
      <c r="D33" s="2">
        <f t="shared" si="6"/>
        <v>0.88100000000000001</v>
      </c>
      <c r="E33" s="2">
        <f t="shared" si="6"/>
        <v>0.87650000000000006</v>
      </c>
      <c r="F33" s="2">
        <f t="shared" si="6"/>
        <v>0.872</v>
      </c>
      <c r="G33" s="2">
        <f t="shared" si="6"/>
        <v>0.86749999999999994</v>
      </c>
      <c r="H33" s="2">
        <f t="shared" si="6"/>
        <v>0.86299999999999999</v>
      </c>
      <c r="I33" s="2">
        <f t="shared" si="6"/>
        <v>0.85850000000000004</v>
      </c>
      <c r="J33" s="2">
        <f t="shared" si="6"/>
        <v>0.85399999999999998</v>
      </c>
      <c r="K33" s="2">
        <f t="shared" si="6"/>
        <v>0.84949999999999992</v>
      </c>
      <c r="L33" s="5">
        <v>0.84499999999999997</v>
      </c>
      <c r="M33" s="2">
        <f t="shared" si="7"/>
        <v>0.83979999999999999</v>
      </c>
      <c r="N33" s="2">
        <f t="shared" si="7"/>
        <v>0.83460000000000001</v>
      </c>
      <c r="O33" s="2">
        <f t="shared" si="7"/>
        <v>0.82939999999999992</v>
      </c>
      <c r="P33" s="2">
        <f t="shared" si="7"/>
        <v>0.82419999999999993</v>
      </c>
      <c r="Q33" s="5">
        <v>0.81899999999999995</v>
      </c>
      <c r="R33" s="2">
        <f t="shared" si="8"/>
        <v>0.81119999999999992</v>
      </c>
      <c r="S33" s="2">
        <f t="shared" si="8"/>
        <v>0.8034</v>
      </c>
      <c r="T33" s="2">
        <f t="shared" si="8"/>
        <v>0.79559999999999997</v>
      </c>
      <c r="U33" s="2">
        <f t="shared" si="8"/>
        <v>0.78780000000000006</v>
      </c>
      <c r="V33" s="5">
        <v>0.78</v>
      </c>
      <c r="W33" s="2">
        <f t="shared" si="9"/>
        <v>0.77180000000000004</v>
      </c>
      <c r="X33" s="2">
        <f t="shared" si="9"/>
        <v>0.76360000000000006</v>
      </c>
      <c r="Y33" s="2">
        <f t="shared" si="9"/>
        <v>0.75539999999999996</v>
      </c>
      <c r="Z33" s="2">
        <f t="shared" si="9"/>
        <v>0.74719999999999998</v>
      </c>
      <c r="AA33" s="5">
        <v>0.73899999999999999</v>
      </c>
      <c r="AB33" s="2">
        <f t="shared" si="10"/>
        <v>0.72460000000000002</v>
      </c>
      <c r="AC33" s="2">
        <f t="shared" si="10"/>
        <v>0.71020000000000005</v>
      </c>
      <c r="AD33" s="2">
        <f t="shared" si="10"/>
        <v>0.69579999999999997</v>
      </c>
      <c r="AE33" s="2">
        <f t="shared" si="10"/>
        <v>0.68140000000000001</v>
      </c>
      <c r="AF33" s="5">
        <v>0.66700000000000004</v>
      </c>
    </row>
    <row r="41" spans="1:32">
      <c r="A41" t="s">
        <v>14</v>
      </c>
    </row>
    <row r="43" spans="1:32">
      <c r="A43">
        <v>150</v>
      </c>
      <c r="C43" t="s">
        <v>6</v>
      </c>
      <c r="G43">
        <v>95</v>
      </c>
      <c r="I43" t="s">
        <v>23</v>
      </c>
      <c r="M43">
        <v>40</v>
      </c>
      <c r="O43" t="s">
        <v>32</v>
      </c>
    </row>
    <row r="44" spans="1:32">
      <c r="A44">
        <f t="shared" ref="A44:A53" si="11">A43-5</f>
        <v>145</v>
      </c>
      <c r="C44" t="s">
        <v>15</v>
      </c>
      <c r="G44">
        <f t="shared" ref="G44:G53" si="12">G43-5</f>
        <v>90</v>
      </c>
      <c r="I44" t="s">
        <v>24</v>
      </c>
      <c r="M44">
        <f t="shared" ref="M44:M51" si="13">M43-5</f>
        <v>35</v>
      </c>
      <c r="O44" t="s">
        <v>33</v>
      </c>
    </row>
    <row r="45" spans="1:32">
      <c r="A45">
        <f t="shared" si="11"/>
        <v>140</v>
      </c>
      <c r="C45" t="s">
        <v>16</v>
      </c>
      <c r="G45">
        <f t="shared" si="12"/>
        <v>85</v>
      </c>
      <c r="I45" t="s">
        <v>25</v>
      </c>
      <c r="M45">
        <f t="shared" si="13"/>
        <v>30</v>
      </c>
      <c r="O45" t="s">
        <v>34</v>
      </c>
    </row>
    <row r="46" spans="1:32">
      <c r="A46">
        <f t="shared" si="11"/>
        <v>135</v>
      </c>
      <c r="C46" t="s">
        <v>17</v>
      </c>
      <c r="G46">
        <f t="shared" si="12"/>
        <v>80</v>
      </c>
      <c r="I46" t="s">
        <v>26</v>
      </c>
      <c r="M46">
        <f t="shared" si="13"/>
        <v>25</v>
      </c>
      <c r="O46" t="s">
        <v>10</v>
      </c>
    </row>
    <row r="47" spans="1:32">
      <c r="A47">
        <f t="shared" si="11"/>
        <v>130</v>
      </c>
      <c r="C47" t="s">
        <v>18</v>
      </c>
      <c r="G47">
        <f t="shared" si="12"/>
        <v>75</v>
      </c>
      <c r="I47" t="s">
        <v>8</v>
      </c>
      <c r="M47">
        <f t="shared" si="13"/>
        <v>20</v>
      </c>
      <c r="O47" t="s">
        <v>35</v>
      </c>
    </row>
    <row r="48" spans="1:32">
      <c r="A48">
        <f t="shared" si="11"/>
        <v>125</v>
      </c>
      <c r="C48" t="s">
        <v>13</v>
      </c>
      <c r="G48">
        <f t="shared" si="12"/>
        <v>70</v>
      </c>
      <c r="I48" t="s">
        <v>27</v>
      </c>
      <c r="M48">
        <f t="shared" si="13"/>
        <v>15</v>
      </c>
      <c r="O48" t="s">
        <v>36</v>
      </c>
    </row>
    <row r="49" spans="1:15">
      <c r="A49">
        <f t="shared" si="11"/>
        <v>120</v>
      </c>
      <c r="C49" t="s">
        <v>19</v>
      </c>
      <c r="G49">
        <f t="shared" si="12"/>
        <v>65</v>
      </c>
      <c r="I49" t="s">
        <v>28</v>
      </c>
      <c r="M49">
        <f t="shared" si="13"/>
        <v>10</v>
      </c>
      <c r="O49" t="s">
        <v>37</v>
      </c>
    </row>
    <row r="50" spans="1:15">
      <c r="A50">
        <f t="shared" si="11"/>
        <v>115</v>
      </c>
      <c r="C50" t="s">
        <v>20</v>
      </c>
      <c r="G50">
        <f t="shared" si="12"/>
        <v>60</v>
      </c>
      <c r="I50" t="s">
        <v>29</v>
      </c>
      <c r="M50">
        <f t="shared" si="13"/>
        <v>5</v>
      </c>
      <c r="O50" t="s">
        <v>38</v>
      </c>
    </row>
    <row r="51" spans="1:15">
      <c r="A51">
        <f t="shared" si="11"/>
        <v>110</v>
      </c>
      <c r="C51" t="s">
        <v>21</v>
      </c>
      <c r="G51">
        <f t="shared" si="12"/>
        <v>55</v>
      </c>
      <c r="I51" t="s">
        <v>30</v>
      </c>
      <c r="M51">
        <f t="shared" si="13"/>
        <v>0</v>
      </c>
      <c r="O51" t="s">
        <v>11</v>
      </c>
    </row>
    <row r="52" spans="1:15">
      <c r="A52">
        <f t="shared" si="11"/>
        <v>105</v>
      </c>
      <c r="C52" t="s">
        <v>22</v>
      </c>
      <c r="G52">
        <f t="shared" si="12"/>
        <v>50</v>
      </c>
      <c r="I52" t="s">
        <v>9</v>
      </c>
    </row>
    <row r="53" spans="1:15">
      <c r="A53">
        <f t="shared" si="11"/>
        <v>100</v>
      </c>
      <c r="C53" t="s">
        <v>7</v>
      </c>
      <c r="G53">
        <f t="shared" si="12"/>
        <v>45</v>
      </c>
      <c r="I53" t="s">
        <v>31</v>
      </c>
    </row>
  </sheetData>
  <sheetProtection sheet="1" objects="1" scenarios="1"/>
  <mergeCells count="4">
    <mergeCell ref="A1:D3"/>
    <mergeCell ref="B5:N5"/>
    <mergeCell ref="O5:AF5"/>
    <mergeCell ref="G2:K3"/>
  </mergeCells>
  <phoneticPr fontId="1"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sheetPr codeName="Sheet8"/>
  <dimension ref="A1:AF53"/>
  <sheetViews>
    <sheetView topLeftCell="A41" workbookViewId="0">
      <selection activeCell="Y30" sqref="Y30"/>
    </sheetView>
  </sheetViews>
  <sheetFormatPr defaultRowHeight="12.75"/>
  <cols>
    <col min="1" max="1" width="16.140625" customWidth="1"/>
    <col min="2" max="32" width="11.28515625" customWidth="1"/>
  </cols>
  <sheetData>
    <row r="1" spans="1:32">
      <c r="A1" s="158" t="s">
        <v>5</v>
      </c>
      <c r="B1" s="158"/>
      <c r="C1" s="158"/>
      <c r="D1" s="158"/>
    </row>
    <row r="2" spans="1:32">
      <c r="A2" s="158"/>
      <c r="B2" s="158"/>
      <c r="C2" s="158"/>
      <c r="D2" s="158"/>
      <c r="G2" s="164" t="s">
        <v>71</v>
      </c>
      <c r="H2" s="165"/>
      <c r="I2" s="165"/>
      <c r="J2" s="165"/>
      <c r="K2" s="165"/>
    </row>
    <row r="3" spans="1:32">
      <c r="A3" s="158"/>
      <c r="B3" s="158"/>
      <c r="C3" s="158"/>
      <c r="D3" s="158"/>
      <c r="E3" s="6"/>
      <c r="F3" s="6"/>
      <c r="G3" s="165"/>
      <c r="H3" s="165"/>
      <c r="I3" s="165"/>
      <c r="J3" s="165"/>
      <c r="K3" s="165"/>
    </row>
    <row r="4" spans="1:32" ht="13.5" thickBot="1">
      <c r="A4" s="13"/>
      <c r="B4" s="6"/>
    </row>
    <row r="5" spans="1:32" ht="18.75" thickBot="1">
      <c r="A5" s="3"/>
      <c r="B5" s="159" t="s">
        <v>12</v>
      </c>
      <c r="C5" s="160"/>
      <c r="D5" s="160"/>
      <c r="E5" s="160"/>
      <c r="F5" s="160"/>
      <c r="G5" s="160"/>
      <c r="H5" s="160"/>
      <c r="I5" s="160"/>
      <c r="J5" s="160"/>
      <c r="K5" s="160"/>
      <c r="L5" s="160"/>
      <c r="M5" s="160"/>
      <c r="N5" s="161"/>
      <c r="O5" s="162" t="s">
        <v>12</v>
      </c>
      <c r="P5" s="162"/>
      <c r="Q5" s="162"/>
      <c r="R5" s="162"/>
      <c r="S5" s="162"/>
      <c r="T5" s="162"/>
      <c r="U5" s="162"/>
      <c r="V5" s="162"/>
      <c r="W5" s="162"/>
      <c r="X5" s="162"/>
      <c r="Y5" s="162"/>
      <c r="Z5" s="162"/>
      <c r="AA5" s="162"/>
      <c r="AB5" s="162"/>
      <c r="AC5" s="162"/>
      <c r="AD5" s="162"/>
      <c r="AE5" s="162"/>
      <c r="AF5" s="163"/>
    </row>
    <row r="6" spans="1:32">
      <c r="B6" s="4">
        <v>150</v>
      </c>
      <c r="C6" s="10">
        <f>B6-5</f>
        <v>145</v>
      </c>
      <c r="D6" s="10">
        <f t="shared" ref="D6:AF6" si="0">C6-5</f>
        <v>140</v>
      </c>
      <c r="E6" s="10">
        <f t="shared" si="0"/>
        <v>135</v>
      </c>
      <c r="F6" s="10">
        <f t="shared" si="0"/>
        <v>130</v>
      </c>
      <c r="G6" s="10">
        <f t="shared" si="0"/>
        <v>125</v>
      </c>
      <c r="H6" s="10">
        <f t="shared" si="0"/>
        <v>120</v>
      </c>
      <c r="I6" s="10">
        <f t="shared" si="0"/>
        <v>115</v>
      </c>
      <c r="J6" s="10">
        <f t="shared" si="0"/>
        <v>110</v>
      </c>
      <c r="K6" s="10">
        <f t="shared" si="0"/>
        <v>105</v>
      </c>
      <c r="L6" s="11">
        <f t="shared" si="0"/>
        <v>100</v>
      </c>
      <c r="M6" s="10">
        <f t="shared" si="0"/>
        <v>95</v>
      </c>
      <c r="N6" s="10">
        <f t="shared" si="0"/>
        <v>90</v>
      </c>
      <c r="O6" s="10">
        <f t="shared" si="0"/>
        <v>85</v>
      </c>
      <c r="P6" s="10">
        <f t="shared" si="0"/>
        <v>80</v>
      </c>
      <c r="Q6" s="11">
        <f t="shared" si="0"/>
        <v>75</v>
      </c>
      <c r="R6" s="10">
        <f t="shared" si="0"/>
        <v>70</v>
      </c>
      <c r="S6" s="10">
        <f t="shared" si="0"/>
        <v>65</v>
      </c>
      <c r="T6" s="10">
        <f t="shared" si="0"/>
        <v>60</v>
      </c>
      <c r="U6" s="10">
        <f t="shared" si="0"/>
        <v>55</v>
      </c>
      <c r="V6" s="11">
        <f t="shared" si="0"/>
        <v>50</v>
      </c>
      <c r="W6" s="10">
        <f t="shared" si="0"/>
        <v>45</v>
      </c>
      <c r="X6" s="10">
        <f t="shared" si="0"/>
        <v>40</v>
      </c>
      <c r="Y6" s="10">
        <f t="shared" si="0"/>
        <v>35</v>
      </c>
      <c r="Z6" s="10">
        <f t="shared" si="0"/>
        <v>30</v>
      </c>
      <c r="AA6" s="11">
        <f t="shared" si="0"/>
        <v>25</v>
      </c>
      <c r="AB6" s="10">
        <f t="shared" si="0"/>
        <v>20</v>
      </c>
      <c r="AC6" s="10">
        <f t="shared" si="0"/>
        <v>15</v>
      </c>
      <c r="AD6" s="11">
        <f>AC6-5</f>
        <v>10</v>
      </c>
      <c r="AE6" s="10">
        <f t="shared" si="0"/>
        <v>5</v>
      </c>
      <c r="AF6" s="10">
        <f t="shared" si="0"/>
        <v>0</v>
      </c>
    </row>
    <row r="7" spans="1:32" ht="12.75" customHeight="1">
      <c r="A7" s="1" t="s">
        <v>1</v>
      </c>
      <c r="B7" s="7" t="s">
        <v>3</v>
      </c>
      <c r="C7" s="9" t="s">
        <v>3</v>
      </c>
      <c r="D7" s="9" t="s">
        <v>3</v>
      </c>
      <c r="E7" s="9" t="s">
        <v>3</v>
      </c>
      <c r="F7" s="9" t="s">
        <v>3</v>
      </c>
      <c r="G7" s="9" t="s">
        <v>3</v>
      </c>
      <c r="H7" s="9" t="s">
        <v>3</v>
      </c>
      <c r="I7" s="9" t="s">
        <v>3</v>
      </c>
      <c r="J7" s="9" t="s">
        <v>3</v>
      </c>
      <c r="K7" s="9" t="s">
        <v>3</v>
      </c>
      <c r="L7" s="7" t="s">
        <v>3</v>
      </c>
      <c r="M7" s="9" t="s">
        <v>3</v>
      </c>
      <c r="N7" s="9" t="s">
        <v>3</v>
      </c>
      <c r="O7" s="9" t="s">
        <v>3</v>
      </c>
      <c r="P7" s="9" t="s">
        <v>3</v>
      </c>
      <c r="Q7" s="8" t="s">
        <v>3</v>
      </c>
      <c r="R7" s="9" t="s">
        <v>3</v>
      </c>
      <c r="S7" s="9" t="s">
        <v>3</v>
      </c>
      <c r="T7" s="9" t="s">
        <v>3</v>
      </c>
      <c r="U7" s="9" t="s">
        <v>3</v>
      </c>
      <c r="V7" s="5" t="s">
        <v>3</v>
      </c>
      <c r="W7" s="9" t="s">
        <v>3</v>
      </c>
      <c r="X7" s="9" t="s">
        <v>3</v>
      </c>
      <c r="Y7" s="9" t="s">
        <v>3</v>
      </c>
      <c r="Z7" s="9" t="s">
        <v>3</v>
      </c>
      <c r="AA7" s="5" t="s">
        <v>3</v>
      </c>
      <c r="AB7" s="9" t="s">
        <v>3</v>
      </c>
      <c r="AC7" s="9" t="s">
        <v>3</v>
      </c>
      <c r="AD7" s="5" t="s">
        <v>3</v>
      </c>
      <c r="AE7" s="9" t="s">
        <v>3</v>
      </c>
      <c r="AF7" s="9" t="s">
        <v>3</v>
      </c>
    </row>
    <row r="8" spans="1:32">
      <c r="A8" s="12">
        <v>0</v>
      </c>
      <c r="B8" s="5">
        <v>1</v>
      </c>
      <c r="C8" s="2">
        <v>1</v>
      </c>
      <c r="D8" s="2">
        <v>1</v>
      </c>
      <c r="E8" s="2">
        <v>1</v>
      </c>
      <c r="F8" s="2">
        <v>1</v>
      </c>
      <c r="G8" s="2">
        <v>1</v>
      </c>
      <c r="H8" s="2">
        <v>1</v>
      </c>
      <c r="I8" s="2">
        <v>1</v>
      </c>
      <c r="J8" s="2">
        <v>1</v>
      </c>
      <c r="K8" s="2">
        <v>1</v>
      </c>
      <c r="L8" s="5">
        <v>1</v>
      </c>
      <c r="M8" s="2">
        <v>1</v>
      </c>
      <c r="N8" s="2">
        <v>1</v>
      </c>
      <c r="O8" s="2">
        <v>1</v>
      </c>
      <c r="P8" s="2">
        <v>1</v>
      </c>
      <c r="Q8" s="5">
        <v>1</v>
      </c>
      <c r="R8" s="2">
        <v>1</v>
      </c>
      <c r="S8" s="2">
        <v>1</v>
      </c>
      <c r="T8" s="2">
        <v>1</v>
      </c>
      <c r="U8" s="2">
        <v>1</v>
      </c>
      <c r="V8" s="5">
        <v>1</v>
      </c>
      <c r="W8" s="2">
        <v>1</v>
      </c>
      <c r="X8" s="2">
        <v>1</v>
      </c>
      <c r="Y8" s="2">
        <v>1</v>
      </c>
      <c r="Z8" s="2">
        <v>1</v>
      </c>
      <c r="AA8" s="5">
        <v>1</v>
      </c>
      <c r="AB8" s="2">
        <v>1</v>
      </c>
      <c r="AC8" s="2">
        <v>1</v>
      </c>
      <c r="AD8" s="5">
        <v>1</v>
      </c>
      <c r="AE8" s="2">
        <v>1</v>
      </c>
      <c r="AF8" s="14">
        <v>1</v>
      </c>
    </row>
    <row r="9" spans="1:32">
      <c r="A9" s="12">
        <f>A8+50</f>
        <v>50</v>
      </c>
      <c r="B9" s="5">
        <v>0.99099999999999999</v>
      </c>
      <c r="C9" s="2">
        <f>((C$6-$L$6)*($B9-$L9))/($B$6-$L$6) + $L9</f>
        <v>0.99060000000000004</v>
      </c>
      <c r="D9" s="2">
        <f>((D$6-$L$6)*($B9-$L9))/($B$6-$L$6) + $L9</f>
        <v>0.99019999999999997</v>
      </c>
      <c r="E9" s="2">
        <f t="shared" ref="E9:K24" si="1">((E$6-$L$6)*($B9-$L9))/($B$6-$L$6) + $L9</f>
        <v>0.98980000000000001</v>
      </c>
      <c r="F9" s="2">
        <f t="shared" si="1"/>
        <v>0.98939999999999995</v>
      </c>
      <c r="G9" s="2">
        <f t="shared" si="1"/>
        <v>0.98899999999999999</v>
      </c>
      <c r="H9" s="2">
        <f t="shared" si="1"/>
        <v>0.98860000000000003</v>
      </c>
      <c r="I9" s="2">
        <f t="shared" si="1"/>
        <v>0.98819999999999997</v>
      </c>
      <c r="J9" s="2">
        <f t="shared" si="1"/>
        <v>0.98780000000000001</v>
      </c>
      <c r="K9" s="2">
        <f t="shared" si="1"/>
        <v>0.98739999999999994</v>
      </c>
      <c r="L9" s="5">
        <v>0.98699999999999999</v>
      </c>
      <c r="M9" s="2">
        <f>((M$6-$Q$6)*($L9-$Q9))/($L$6-$Q$6) + $Q9</f>
        <v>0.98660000000000003</v>
      </c>
      <c r="N9" s="2">
        <f>((N$6-$Q$6)*($L9-$Q9))/($L$6-$Q$6) + $Q9</f>
        <v>0.98619999999999997</v>
      </c>
      <c r="O9" s="2">
        <f>((O$6-$Q$6)*($L9-$Q9))/($L$6-$Q$6) + $Q9</f>
        <v>0.98580000000000001</v>
      </c>
      <c r="P9" s="2">
        <f>((P$6-$Q$6)*($L9-$Q9))/($L$6-$Q$6) + $Q9</f>
        <v>0.98539999999999994</v>
      </c>
      <c r="Q9" s="5">
        <v>0.98499999999999999</v>
      </c>
      <c r="R9" s="2">
        <f>((R$6-$V$6)*($Q9-$V9))/($Q$6-$V$6) + $V9</f>
        <v>0.98439999999999994</v>
      </c>
      <c r="S9" s="2">
        <f t="shared" ref="S9:U24" si="2">((S$6-$V$6)*($Q9-$V9))/($Q$6-$V$6) + $V9</f>
        <v>0.98380000000000001</v>
      </c>
      <c r="T9" s="2">
        <f t="shared" si="2"/>
        <v>0.98319999999999996</v>
      </c>
      <c r="U9" s="2">
        <f t="shared" si="2"/>
        <v>0.98260000000000003</v>
      </c>
      <c r="V9" s="5">
        <v>0.98199999999999998</v>
      </c>
      <c r="W9" s="2">
        <f>((W$6-$AA$6)*($V9-$AA9))/($V$6-$AA$6) + $AA9</f>
        <v>0.98160000000000003</v>
      </c>
      <c r="X9" s="2">
        <f t="shared" ref="X9:Z24" si="3">((X$6-$AA$6)*($V9-$AA9))/($V$6-$AA$6) + $AA9</f>
        <v>0.98119999999999996</v>
      </c>
      <c r="Y9" s="2">
        <f t="shared" si="3"/>
        <v>0.98080000000000001</v>
      </c>
      <c r="Z9" s="2">
        <f t="shared" si="3"/>
        <v>0.98039999999999994</v>
      </c>
      <c r="AA9" s="5">
        <v>0.98</v>
      </c>
      <c r="AB9" s="2">
        <f>((AB$6-$AD$6)*($AA9-$AD9))/($AA$6-$AD$6) + $AD9</f>
        <v>0.97733333333333328</v>
      </c>
      <c r="AC9" s="2">
        <f>((AC$6-$AD$6)*($AA9-$AD9))/($AA$6-$AD$6) + $AD9</f>
        <v>0.97466666666666668</v>
      </c>
      <c r="AD9" s="5">
        <v>0.97199999999999998</v>
      </c>
      <c r="AE9" s="2">
        <f>((AE$6-$AD$6)*($AA9-$AD9))/($AA$6-$AD$6) + $AD9</f>
        <v>0.96933333333333327</v>
      </c>
      <c r="AF9" s="2">
        <f>((AF$6-$AD$6)*($AA9-$AD9))/($AA$6-$AD$6) + $AD9</f>
        <v>0.96666666666666667</v>
      </c>
    </row>
    <row r="10" spans="1:32">
      <c r="A10" s="12">
        <f t="shared" ref="A10:A32" si="4">A9+50</f>
        <v>100</v>
      </c>
      <c r="B10" s="5">
        <v>0.98599999999999999</v>
      </c>
      <c r="C10" s="2">
        <f t="shared" ref="C10:K33" si="5">((C$6-$L$6)*($B10-$L10))/($B$6-$L$6) + $L10</f>
        <v>0.98499999999999999</v>
      </c>
      <c r="D10" s="2">
        <f t="shared" si="5"/>
        <v>0.98399999999999999</v>
      </c>
      <c r="E10" s="2">
        <f t="shared" si="1"/>
        <v>0.98299999999999998</v>
      </c>
      <c r="F10" s="2">
        <f t="shared" si="1"/>
        <v>0.98199999999999998</v>
      </c>
      <c r="G10" s="2">
        <f t="shared" si="1"/>
        <v>0.98099999999999998</v>
      </c>
      <c r="H10" s="2">
        <f t="shared" si="1"/>
        <v>0.98</v>
      </c>
      <c r="I10" s="2">
        <f t="shared" si="1"/>
        <v>0.97899999999999998</v>
      </c>
      <c r="J10" s="2">
        <f t="shared" si="1"/>
        <v>0.97799999999999998</v>
      </c>
      <c r="K10" s="2">
        <f t="shared" si="1"/>
        <v>0.97699999999999998</v>
      </c>
      <c r="L10" s="5">
        <v>0.97599999999999998</v>
      </c>
      <c r="M10" s="2">
        <f t="shared" ref="M10:P33" si="6">((M$6-$Q$6)*($L10-$Q10))/($L$6-$Q$6) + $Q10</f>
        <v>0.9758</v>
      </c>
      <c r="N10" s="2">
        <f t="shared" si="6"/>
        <v>0.97560000000000002</v>
      </c>
      <c r="O10" s="2">
        <f t="shared" si="6"/>
        <v>0.97539999999999993</v>
      </c>
      <c r="P10" s="2">
        <f t="shared" si="6"/>
        <v>0.97519999999999996</v>
      </c>
      <c r="Q10" s="5">
        <v>0.97499999999999998</v>
      </c>
      <c r="R10" s="2">
        <f t="shared" ref="R10:U33" si="7">((R$6-$V$6)*($Q10-$V10))/($Q$6-$V$6) + $V10</f>
        <v>0.97499999999999998</v>
      </c>
      <c r="S10" s="2">
        <f t="shared" si="2"/>
        <v>0.97499999999999998</v>
      </c>
      <c r="T10" s="2">
        <f t="shared" si="2"/>
        <v>0.97499999999999998</v>
      </c>
      <c r="U10" s="2">
        <f t="shared" si="2"/>
        <v>0.97499999999999998</v>
      </c>
      <c r="V10" s="5">
        <v>0.97499999999999998</v>
      </c>
      <c r="W10" s="2">
        <f t="shared" ref="W10:Z33" si="8">((W$6-$AA$6)*($V10-$AA10))/($V$6-$AA$6) + $AA10</f>
        <v>0.97299999999999998</v>
      </c>
      <c r="X10" s="2">
        <f t="shared" si="3"/>
        <v>0.97099999999999997</v>
      </c>
      <c r="Y10" s="2">
        <f t="shared" si="3"/>
        <v>0.96899999999999997</v>
      </c>
      <c r="Z10" s="2">
        <f t="shared" si="3"/>
        <v>0.96699999999999997</v>
      </c>
      <c r="AA10" s="5">
        <v>0.96499999999999997</v>
      </c>
      <c r="AB10" s="2">
        <f t="shared" ref="AB10:AC33" si="9">((AB$6-$AD$6)*($AA10-$AD10))/($AA$6-$AD$6) + $AD10</f>
        <v>0.96166666666666667</v>
      </c>
      <c r="AC10" s="2">
        <f t="shared" si="9"/>
        <v>0.95833333333333326</v>
      </c>
      <c r="AD10" s="5">
        <v>0.95499999999999996</v>
      </c>
      <c r="AE10" s="2">
        <f t="shared" ref="AE10:AF33" si="10">((AE$6-$AD$6)*($AA10-$AD10))/($AA$6-$AD$6) + $AD10</f>
        <v>0.95166666666666666</v>
      </c>
      <c r="AF10" s="2">
        <f t="shared" si="10"/>
        <v>0.94833333333333325</v>
      </c>
    </row>
    <row r="11" spans="1:32">
      <c r="A11" s="12">
        <f t="shared" si="4"/>
        <v>150</v>
      </c>
      <c r="B11" s="5">
        <v>0.98</v>
      </c>
      <c r="C11" s="2">
        <f t="shared" si="5"/>
        <v>0.97899999999999998</v>
      </c>
      <c r="D11" s="2">
        <f t="shared" si="5"/>
        <v>0.97799999999999998</v>
      </c>
      <c r="E11" s="2">
        <f t="shared" si="1"/>
        <v>0.97699999999999998</v>
      </c>
      <c r="F11" s="2">
        <f t="shared" si="1"/>
        <v>0.97599999999999998</v>
      </c>
      <c r="G11" s="2">
        <f t="shared" si="1"/>
        <v>0.97499999999999998</v>
      </c>
      <c r="H11" s="2">
        <f t="shared" si="1"/>
        <v>0.97399999999999998</v>
      </c>
      <c r="I11" s="2">
        <f t="shared" si="1"/>
        <v>0.97299999999999998</v>
      </c>
      <c r="J11" s="2">
        <f t="shared" si="1"/>
        <v>0.97199999999999998</v>
      </c>
      <c r="K11" s="2">
        <f t="shared" si="1"/>
        <v>0.97099999999999997</v>
      </c>
      <c r="L11" s="5">
        <v>0.97</v>
      </c>
      <c r="M11" s="2">
        <f t="shared" si="6"/>
        <v>0.9698</v>
      </c>
      <c r="N11" s="2">
        <f t="shared" si="6"/>
        <v>0.96960000000000002</v>
      </c>
      <c r="O11" s="2">
        <f t="shared" si="6"/>
        <v>0.96939999999999993</v>
      </c>
      <c r="P11" s="2">
        <f t="shared" si="6"/>
        <v>0.96919999999999995</v>
      </c>
      <c r="Q11" s="5">
        <v>0.96899999999999997</v>
      </c>
      <c r="R11" s="2">
        <f t="shared" si="7"/>
        <v>0.96839999999999993</v>
      </c>
      <c r="S11" s="2">
        <f t="shared" si="2"/>
        <v>0.96779999999999999</v>
      </c>
      <c r="T11" s="2">
        <f t="shared" si="2"/>
        <v>0.96719999999999995</v>
      </c>
      <c r="U11" s="2">
        <f t="shared" si="2"/>
        <v>0.96660000000000001</v>
      </c>
      <c r="V11" s="5">
        <v>0.96599999999999997</v>
      </c>
      <c r="W11" s="2">
        <f t="shared" si="8"/>
        <v>0.96319999999999995</v>
      </c>
      <c r="X11" s="2">
        <f t="shared" si="3"/>
        <v>0.96039999999999992</v>
      </c>
      <c r="Y11" s="2">
        <f t="shared" si="3"/>
        <v>0.95760000000000001</v>
      </c>
      <c r="Z11" s="2">
        <f t="shared" si="3"/>
        <v>0.95479999999999998</v>
      </c>
      <c r="AA11" s="5">
        <v>0.95199999999999996</v>
      </c>
      <c r="AB11" s="2">
        <f t="shared" si="9"/>
        <v>0.94799999999999995</v>
      </c>
      <c r="AC11" s="2">
        <f t="shared" si="9"/>
        <v>0.94399999999999995</v>
      </c>
      <c r="AD11" s="5">
        <v>0.94</v>
      </c>
      <c r="AE11" s="2">
        <f t="shared" si="10"/>
        <v>0.93599999999999994</v>
      </c>
      <c r="AF11" s="2">
        <f t="shared" si="10"/>
        <v>0.93199999999999994</v>
      </c>
    </row>
    <row r="12" spans="1:32">
      <c r="A12" s="12">
        <f t="shared" si="4"/>
        <v>200</v>
      </c>
      <c r="B12" s="5">
        <v>0.97399999999999998</v>
      </c>
      <c r="C12" s="2">
        <f t="shared" si="5"/>
        <v>0.97270000000000001</v>
      </c>
      <c r="D12" s="2">
        <f t="shared" si="5"/>
        <v>0.97139999999999993</v>
      </c>
      <c r="E12" s="2">
        <f t="shared" si="1"/>
        <v>0.97009999999999996</v>
      </c>
      <c r="F12" s="2">
        <f t="shared" si="1"/>
        <v>0.96879999999999999</v>
      </c>
      <c r="G12" s="2">
        <f t="shared" si="1"/>
        <v>0.96750000000000003</v>
      </c>
      <c r="H12" s="2">
        <f t="shared" si="1"/>
        <v>0.96619999999999995</v>
      </c>
      <c r="I12" s="2">
        <f t="shared" si="1"/>
        <v>0.96489999999999998</v>
      </c>
      <c r="J12" s="2">
        <f t="shared" si="1"/>
        <v>0.96360000000000001</v>
      </c>
      <c r="K12" s="2">
        <f t="shared" si="1"/>
        <v>0.96229999999999993</v>
      </c>
      <c r="L12" s="5">
        <v>0.96099999999999997</v>
      </c>
      <c r="M12" s="2">
        <f t="shared" si="6"/>
        <v>0.96060000000000001</v>
      </c>
      <c r="N12" s="2">
        <f t="shared" si="6"/>
        <v>0.96019999999999994</v>
      </c>
      <c r="O12" s="2">
        <f t="shared" si="6"/>
        <v>0.95979999999999999</v>
      </c>
      <c r="P12" s="2">
        <f t="shared" si="6"/>
        <v>0.95939999999999992</v>
      </c>
      <c r="Q12" s="5">
        <v>0.95899999999999996</v>
      </c>
      <c r="R12" s="2">
        <f t="shared" si="7"/>
        <v>0.95839999999999992</v>
      </c>
      <c r="S12" s="2">
        <f t="shared" si="2"/>
        <v>0.95779999999999998</v>
      </c>
      <c r="T12" s="2">
        <f t="shared" si="2"/>
        <v>0.95719999999999994</v>
      </c>
      <c r="U12" s="2">
        <f t="shared" si="2"/>
        <v>0.95660000000000001</v>
      </c>
      <c r="V12" s="5">
        <v>0.95599999999999996</v>
      </c>
      <c r="W12" s="2">
        <f t="shared" si="8"/>
        <v>0.9526</v>
      </c>
      <c r="X12" s="2">
        <f t="shared" si="3"/>
        <v>0.94919999999999993</v>
      </c>
      <c r="Y12" s="2">
        <f t="shared" si="3"/>
        <v>0.94579999999999997</v>
      </c>
      <c r="Z12" s="2">
        <f t="shared" si="3"/>
        <v>0.9423999999999999</v>
      </c>
      <c r="AA12" s="5">
        <v>0.93899999999999995</v>
      </c>
      <c r="AB12" s="2">
        <f t="shared" si="9"/>
        <v>0.93433333333333335</v>
      </c>
      <c r="AC12" s="2">
        <f t="shared" si="9"/>
        <v>0.92966666666666664</v>
      </c>
      <c r="AD12" s="5">
        <v>0.92500000000000004</v>
      </c>
      <c r="AE12" s="2">
        <f t="shared" si="10"/>
        <v>0.92033333333333345</v>
      </c>
      <c r="AF12" s="2">
        <f t="shared" si="10"/>
        <v>0.91566666666666674</v>
      </c>
    </row>
    <row r="13" spans="1:32">
      <c r="A13" s="12">
        <f t="shared" si="4"/>
        <v>250</v>
      </c>
      <c r="B13" s="5">
        <v>0.96899999999999997</v>
      </c>
      <c r="C13" s="2">
        <f t="shared" si="5"/>
        <v>0.96750000000000003</v>
      </c>
      <c r="D13" s="2">
        <f t="shared" si="5"/>
        <v>0.96599999999999997</v>
      </c>
      <c r="E13" s="2">
        <f t="shared" si="1"/>
        <v>0.96449999999999991</v>
      </c>
      <c r="F13" s="2">
        <f t="shared" si="1"/>
        <v>0.96299999999999997</v>
      </c>
      <c r="G13" s="2">
        <f t="shared" si="1"/>
        <v>0.96150000000000002</v>
      </c>
      <c r="H13" s="2">
        <f t="shared" si="1"/>
        <v>0.96</v>
      </c>
      <c r="I13" s="2">
        <f t="shared" si="1"/>
        <v>0.95849999999999991</v>
      </c>
      <c r="J13" s="2">
        <f t="shared" si="1"/>
        <v>0.95699999999999996</v>
      </c>
      <c r="K13" s="2">
        <f t="shared" si="1"/>
        <v>0.95550000000000002</v>
      </c>
      <c r="L13" s="5">
        <v>0.95399999999999996</v>
      </c>
      <c r="M13" s="2">
        <f t="shared" si="6"/>
        <v>0.95319999999999994</v>
      </c>
      <c r="N13" s="2">
        <f t="shared" si="6"/>
        <v>0.95239999999999991</v>
      </c>
      <c r="O13" s="2">
        <f t="shared" si="6"/>
        <v>0.9516</v>
      </c>
      <c r="P13" s="2">
        <f t="shared" si="6"/>
        <v>0.95079999999999998</v>
      </c>
      <c r="Q13" s="5">
        <v>0.95</v>
      </c>
      <c r="R13" s="2">
        <f t="shared" si="7"/>
        <v>0.94899999999999995</v>
      </c>
      <c r="S13" s="2">
        <f t="shared" si="2"/>
        <v>0.94799999999999995</v>
      </c>
      <c r="T13" s="2">
        <f t="shared" si="2"/>
        <v>0.94699999999999995</v>
      </c>
      <c r="U13" s="2">
        <f t="shared" si="2"/>
        <v>0.94599999999999995</v>
      </c>
      <c r="V13" s="5">
        <v>0.94499999999999995</v>
      </c>
      <c r="W13" s="2">
        <f t="shared" si="8"/>
        <v>0.94199999999999995</v>
      </c>
      <c r="X13" s="2">
        <f t="shared" si="3"/>
        <v>0.93899999999999995</v>
      </c>
      <c r="Y13" s="2">
        <f t="shared" si="3"/>
        <v>0.93600000000000005</v>
      </c>
      <c r="Z13" s="2">
        <f t="shared" si="3"/>
        <v>0.93300000000000005</v>
      </c>
      <c r="AA13" s="5">
        <v>0.93</v>
      </c>
      <c r="AB13" s="2">
        <f t="shared" si="9"/>
        <v>0.92333333333333334</v>
      </c>
      <c r="AC13" s="2">
        <f t="shared" si="9"/>
        <v>0.91666666666666674</v>
      </c>
      <c r="AD13" s="5">
        <v>0.91</v>
      </c>
      <c r="AE13" s="2">
        <f t="shared" si="10"/>
        <v>0.90333333333333332</v>
      </c>
      <c r="AF13" s="2">
        <f t="shared" si="10"/>
        <v>0.89666666666666672</v>
      </c>
    </row>
    <row r="14" spans="1:32">
      <c r="A14" s="12">
        <f t="shared" si="4"/>
        <v>300</v>
      </c>
      <c r="B14" s="5">
        <v>0.96099999999999997</v>
      </c>
      <c r="C14" s="2">
        <f t="shared" si="5"/>
        <v>0.95950000000000002</v>
      </c>
      <c r="D14" s="2">
        <f t="shared" si="5"/>
        <v>0.95799999999999996</v>
      </c>
      <c r="E14" s="2">
        <f t="shared" si="1"/>
        <v>0.95649999999999991</v>
      </c>
      <c r="F14" s="2">
        <f t="shared" si="1"/>
        <v>0.95499999999999996</v>
      </c>
      <c r="G14" s="2">
        <f t="shared" si="1"/>
        <v>0.95350000000000001</v>
      </c>
      <c r="H14" s="2">
        <f t="shared" si="1"/>
        <v>0.95199999999999996</v>
      </c>
      <c r="I14" s="2">
        <f t="shared" si="1"/>
        <v>0.9504999999999999</v>
      </c>
      <c r="J14" s="2">
        <f t="shared" si="1"/>
        <v>0.94899999999999995</v>
      </c>
      <c r="K14" s="2">
        <f t="shared" si="1"/>
        <v>0.94750000000000001</v>
      </c>
      <c r="L14" s="5">
        <v>0.94599999999999995</v>
      </c>
      <c r="M14" s="2">
        <f t="shared" si="6"/>
        <v>0.94479999999999997</v>
      </c>
      <c r="N14" s="2">
        <f t="shared" si="6"/>
        <v>0.94359999999999999</v>
      </c>
      <c r="O14" s="2">
        <f t="shared" si="6"/>
        <v>0.9423999999999999</v>
      </c>
      <c r="P14" s="2">
        <f t="shared" si="6"/>
        <v>0.94119999999999993</v>
      </c>
      <c r="Q14" s="5">
        <v>0.94</v>
      </c>
      <c r="R14" s="2">
        <f t="shared" si="7"/>
        <v>0.93899999999999995</v>
      </c>
      <c r="S14" s="2">
        <f t="shared" si="2"/>
        <v>0.93799999999999994</v>
      </c>
      <c r="T14" s="2">
        <f t="shared" si="2"/>
        <v>0.93700000000000006</v>
      </c>
      <c r="U14" s="2">
        <f t="shared" si="2"/>
        <v>0.93600000000000005</v>
      </c>
      <c r="V14" s="5">
        <v>0.93500000000000005</v>
      </c>
      <c r="W14" s="2">
        <f t="shared" si="8"/>
        <v>0.93100000000000005</v>
      </c>
      <c r="X14" s="2">
        <f t="shared" si="3"/>
        <v>0.92700000000000005</v>
      </c>
      <c r="Y14" s="2">
        <f t="shared" si="3"/>
        <v>0.92300000000000004</v>
      </c>
      <c r="Z14" s="2">
        <f t="shared" si="3"/>
        <v>0.91900000000000004</v>
      </c>
      <c r="AA14" s="5">
        <v>0.91500000000000004</v>
      </c>
      <c r="AB14" s="2">
        <f t="shared" si="9"/>
        <v>0.90833333333333333</v>
      </c>
      <c r="AC14" s="2">
        <f t="shared" si="9"/>
        <v>0.90166666666666673</v>
      </c>
      <c r="AD14" s="5">
        <v>0.89500000000000002</v>
      </c>
      <c r="AE14" s="2">
        <f t="shared" si="10"/>
        <v>0.88833333333333331</v>
      </c>
      <c r="AF14" s="2">
        <f t="shared" si="10"/>
        <v>0.88166666666666671</v>
      </c>
    </row>
    <row r="15" spans="1:32">
      <c r="A15" s="12">
        <f t="shared" si="4"/>
        <v>350</v>
      </c>
      <c r="B15" s="5">
        <v>0.95599999999999996</v>
      </c>
      <c r="C15" s="2">
        <f t="shared" si="5"/>
        <v>0.95419999999999994</v>
      </c>
      <c r="D15" s="2">
        <f t="shared" si="5"/>
        <v>0.95239999999999991</v>
      </c>
      <c r="E15" s="2">
        <f t="shared" si="1"/>
        <v>0.9506</v>
      </c>
      <c r="F15" s="2">
        <f t="shared" si="1"/>
        <v>0.94879999999999998</v>
      </c>
      <c r="G15" s="2">
        <f t="shared" si="1"/>
        <v>0.94699999999999995</v>
      </c>
      <c r="H15" s="2">
        <f t="shared" si="1"/>
        <v>0.94519999999999993</v>
      </c>
      <c r="I15" s="2">
        <f t="shared" si="1"/>
        <v>0.94339999999999991</v>
      </c>
      <c r="J15" s="2">
        <f t="shared" si="1"/>
        <v>0.94159999999999999</v>
      </c>
      <c r="K15" s="2">
        <f t="shared" si="1"/>
        <v>0.93979999999999997</v>
      </c>
      <c r="L15" s="5">
        <v>0.93799999999999994</v>
      </c>
      <c r="M15" s="2">
        <f t="shared" si="6"/>
        <v>0.93640000000000001</v>
      </c>
      <c r="N15" s="2">
        <f t="shared" si="6"/>
        <v>0.93479999999999996</v>
      </c>
      <c r="O15" s="2">
        <f t="shared" si="6"/>
        <v>0.93320000000000003</v>
      </c>
      <c r="P15" s="2">
        <f t="shared" si="6"/>
        <v>0.93159999999999998</v>
      </c>
      <c r="Q15" s="5">
        <v>0.93</v>
      </c>
      <c r="R15" s="2">
        <f t="shared" si="7"/>
        <v>0.92900000000000005</v>
      </c>
      <c r="S15" s="2">
        <f t="shared" si="2"/>
        <v>0.92800000000000005</v>
      </c>
      <c r="T15" s="2">
        <f t="shared" si="2"/>
        <v>0.92700000000000005</v>
      </c>
      <c r="U15" s="2">
        <f t="shared" si="2"/>
        <v>0.92600000000000005</v>
      </c>
      <c r="V15" s="5">
        <v>0.92500000000000004</v>
      </c>
      <c r="W15" s="2">
        <f t="shared" si="8"/>
        <v>0.92060000000000008</v>
      </c>
      <c r="X15" s="2">
        <f t="shared" si="3"/>
        <v>0.91620000000000001</v>
      </c>
      <c r="Y15" s="2">
        <f t="shared" si="3"/>
        <v>0.91180000000000005</v>
      </c>
      <c r="Z15" s="2">
        <f t="shared" si="3"/>
        <v>0.90739999999999998</v>
      </c>
      <c r="AA15" s="5">
        <v>0.90300000000000002</v>
      </c>
      <c r="AB15" s="2">
        <f t="shared" si="9"/>
        <v>0.89533333333333331</v>
      </c>
      <c r="AC15" s="2">
        <f t="shared" si="9"/>
        <v>0.88766666666666671</v>
      </c>
      <c r="AD15" s="5">
        <v>0.88</v>
      </c>
      <c r="AE15" s="2">
        <f t="shared" si="10"/>
        <v>0.87233333333333329</v>
      </c>
      <c r="AF15" s="2">
        <f t="shared" si="10"/>
        <v>0.86466666666666669</v>
      </c>
    </row>
    <row r="16" spans="1:32">
      <c r="A16" s="12">
        <f t="shared" si="4"/>
        <v>400</v>
      </c>
      <c r="B16" s="5">
        <v>0.95</v>
      </c>
      <c r="C16" s="2">
        <f t="shared" si="5"/>
        <v>0.94809999999999994</v>
      </c>
      <c r="D16" s="2">
        <f t="shared" si="5"/>
        <v>0.94619999999999993</v>
      </c>
      <c r="E16" s="2">
        <f t="shared" si="1"/>
        <v>0.94430000000000003</v>
      </c>
      <c r="F16" s="2">
        <f t="shared" si="1"/>
        <v>0.94240000000000002</v>
      </c>
      <c r="G16" s="2">
        <f t="shared" si="1"/>
        <v>0.9405</v>
      </c>
      <c r="H16" s="2">
        <f t="shared" si="1"/>
        <v>0.93859999999999999</v>
      </c>
      <c r="I16" s="2">
        <f t="shared" si="1"/>
        <v>0.93669999999999998</v>
      </c>
      <c r="J16" s="2">
        <f t="shared" si="1"/>
        <v>0.93480000000000008</v>
      </c>
      <c r="K16" s="2">
        <f t="shared" si="1"/>
        <v>0.93290000000000006</v>
      </c>
      <c r="L16" s="5">
        <v>0.93100000000000005</v>
      </c>
      <c r="M16" s="2">
        <f t="shared" si="6"/>
        <v>0.92960000000000009</v>
      </c>
      <c r="N16" s="2">
        <f t="shared" si="6"/>
        <v>0.92820000000000003</v>
      </c>
      <c r="O16" s="2">
        <f t="shared" si="6"/>
        <v>0.92680000000000007</v>
      </c>
      <c r="P16" s="2">
        <f t="shared" si="6"/>
        <v>0.9254</v>
      </c>
      <c r="Q16" s="5">
        <v>0.92400000000000004</v>
      </c>
      <c r="R16" s="2">
        <f t="shared" si="7"/>
        <v>0.92200000000000004</v>
      </c>
      <c r="S16" s="2">
        <f t="shared" si="2"/>
        <v>0.92</v>
      </c>
      <c r="T16" s="2">
        <f t="shared" si="2"/>
        <v>0.91800000000000004</v>
      </c>
      <c r="U16" s="2">
        <f t="shared" si="2"/>
        <v>0.91600000000000004</v>
      </c>
      <c r="V16" s="5">
        <v>0.91400000000000003</v>
      </c>
      <c r="W16" s="2">
        <f t="shared" si="8"/>
        <v>0.90900000000000003</v>
      </c>
      <c r="X16" s="2">
        <f t="shared" si="3"/>
        <v>0.90400000000000003</v>
      </c>
      <c r="Y16" s="2">
        <f t="shared" si="3"/>
        <v>0.89900000000000002</v>
      </c>
      <c r="Z16" s="2">
        <f t="shared" si="3"/>
        <v>0.89400000000000002</v>
      </c>
      <c r="AA16" s="5">
        <v>0.88900000000000001</v>
      </c>
      <c r="AB16" s="2">
        <f t="shared" si="9"/>
        <v>0.88</v>
      </c>
      <c r="AC16" s="2">
        <f t="shared" si="9"/>
        <v>0.871</v>
      </c>
      <c r="AD16" s="5">
        <v>0.86199999999999999</v>
      </c>
      <c r="AE16" s="2">
        <f t="shared" si="10"/>
        <v>0.85299999999999998</v>
      </c>
      <c r="AF16" s="2">
        <f t="shared" si="10"/>
        <v>0.84399999999999997</v>
      </c>
    </row>
    <row r="17" spans="1:32">
      <c r="A17" s="12">
        <f t="shared" si="4"/>
        <v>450</v>
      </c>
      <c r="B17" s="5">
        <v>0.94499999999999995</v>
      </c>
      <c r="C17" s="2">
        <f t="shared" si="5"/>
        <v>0.94319999999999993</v>
      </c>
      <c r="D17" s="2">
        <f t="shared" si="5"/>
        <v>0.94140000000000001</v>
      </c>
      <c r="E17" s="2">
        <f t="shared" si="1"/>
        <v>0.93959999999999999</v>
      </c>
      <c r="F17" s="2">
        <f t="shared" si="1"/>
        <v>0.93779999999999997</v>
      </c>
      <c r="G17" s="2">
        <f t="shared" si="1"/>
        <v>0.93599999999999994</v>
      </c>
      <c r="H17" s="2">
        <f t="shared" si="1"/>
        <v>0.93420000000000003</v>
      </c>
      <c r="I17" s="2">
        <f t="shared" si="1"/>
        <v>0.93240000000000001</v>
      </c>
      <c r="J17" s="2">
        <f t="shared" si="1"/>
        <v>0.93059999999999998</v>
      </c>
      <c r="K17" s="2">
        <f t="shared" si="1"/>
        <v>0.92880000000000007</v>
      </c>
      <c r="L17" s="5">
        <v>0.92700000000000005</v>
      </c>
      <c r="M17" s="2">
        <f t="shared" si="6"/>
        <v>0.92420000000000002</v>
      </c>
      <c r="N17" s="2">
        <f t="shared" si="6"/>
        <v>0.9214</v>
      </c>
      <c r="O17" s="2">
        <f t="shared" si="6"/>
        <v>0.91860000000000008</v>
      </c>
      <c r="P17" s="2">
        <f t="shared" si="6"/>
        <v>0.91580000000000006</v>
      </c>
      <c r="Q17" s="5">
        <v>0.91300000000000003</v>
      </c>
      <c r="R17" s="2">
        <f t="shared" si="7"/>
        <v>0.91139999999999999</v>
      </c>
      <c r="S17" s="2">
        <f t="shared" si="2"/>
        <v>0.90980000000000005</v>
      </c>
      <c r="T17" s="2">
        <f t="shared" si="2"/>
        <v>0.90820000000000001</v>
      </c>
      <c r="U17" s="2">
        <f t="shared" si="2"/>
        <v>0.90660000000000007</v>
      </c>
      <c r="V17" s="5">
        <v>0.90500000000000003</v>
      </c>
      <c r="W17" s="2">
        <f t="shared" si="8"/>
        <v>0.8992</v>
      </c>
      <c r="X17" s="2">
        <f t="shared" si="3"/>
        <v>0.89339999999999997</v>
      </c>
      <c r="Y17" s="2">
        <f t="shared" si="3"/>
        <v>0.88760000000000006</v>
      </c>
      <c r="Z17" s="2">
        <f t="shared" si="3"/>
        <v>0.88180000000000003</v>
      </c>
      <c r="AA17" s="5">
        <v>0.876</v>
      </c>
      <c r="AB17" s="2">
        <f t="shared" si="9"/>
        <v>0.86733333333333329</v>
      </c>
      <c r="AC17" s="2">
        <f t="shared" si="9"/>
        <v>0.85866666666666669</v>
      </c>
      <c r="AD17" s="5">
        <v>0.85</v>
      </c>
      <c r="AE17" s="2">
        <f t="shared" si="10"/>
        <v>0.84133333333333327</v>
      </c>
      <c r="AF17" s="2">
        <f t="shared" si="10"/>
        <v>0.83266666666666667</v>
      </c>
    </row>
    <row r="18" spans="1:32">
      <c r="A18" s="12">
        <f t="shared" si="4"/>
        <v>500</v>
      </c>
      <c r="B18" s="5">
        <v>0.93899999999999995</v>
      </c>
      <c r="C18" s="2">
        <f t="shared" si="5"/>
        <v>0.93699999999999994</v>
      </c>
      <c r="D18" s="2">
        <f t="shared" si="5"/>
        <v>0.93499999999999994</v>
      </c>
      <c r="E18" s="2">
        <f t="shared" si="1"/>
        <v>0.93299999999999994</v>
      </c>
      <c r="F18" s="2">
        <f t="shared" si="1"/>
        <v>0.93099999999999994</v>
      </c>
      <c r="G18" s="2">
        <f t="shared" si="1"/>
        <v>0.92900000000000005</v>
      </c>
      <c r="H18" s="2">
        <f t="shared" si="1"/>
        <v>0.92700000000000005</v>
      </c>
      <c r="I18" s="2">
        <f t="shared" si="1"/>
        <v>0.92500000000000004</v>
      </c>
      <c r="J18" s="2">
        <f t="shared" si="1"/>
        <v>0.92300000000000004</v>
      </c>
      <c r="K18" s="2">
        <f t="shared" si="1"/>
        <v>0.92100000000000004</v>
      </c>
      <c r="L18" s="5">
        <v>0.91900000000000004</v>
      </c>
      <c r="M18" s="2">
        <f t="shared" si="6"/>
        <v>0.91660000000000008</v>
      </c>
      <c r="N18" s="2">
        <f t="shared" si="6"/>
        <v>0.91420000000000001</v>
      </c>
      <c r="O18" s="2">
        <f t="shared" si="6"/>
        <v>0.91180000000000005</v>
      </c>
      <c r="P18" s="2">
        <f t="shared" si="6"/>
        <v>0.90939999999999999</v>
      </c>
      <c r="Q18" s="5">
        <v>0.90700000000000003</v>
      </c>
      <c r="R18" s="2">
        <f t="shared" si="7"/>
        <v>0.90480000000000005</v>
      </c>
      <c r="S18" s="2">
        <f t="shared" si="2"/>
        <v>0.90260000000000007</v>
      </c>
      <c r="T18" s="2">
        <f t="shared" si="2"/>
        <v>0.90039999999999998</v>
      </c>
      <c r="U18" s="2">
        <f t="shared" si="2"/>
        <v>0.8982</v>
      </c>
      <c r="V18" s="5">
        <v>0.89600000000000002</v>
      </c>
      <c r="W18" s="2">
        <f t="shared" si="8"/>
        <v>0.88980000000000004</v>
      </c>
      <c r="X18" s="2">
        <f t="shared" si="3"/>
        <v>0.88360000000000005</v>
      </c>
      <c r="Y18" s="2">
        <f t="shared" si="3"/>
        <v>0.87739999999999996</v>
      </c>
      <c r="Z18" s="2">
        <f t="shared" si="3"/>
        <v>0.87119999999999997</v>
      </c>
      <c r="AA18" s="5">
        <v>0.86499999999999999</v>
      </c>
      <c r="AB18" s="2">
        <f t="shared" si="9"/>
        <v>0.85499999999999998</v>
      </c>
      <c r="AC18" s="2">
        <f t="shared" si="9"/>
        <v>0.84499999999999997</v>
      </c>
      <c r="AD18" s="5">
        <v>0.83499999999999996</v>
      </c>
      <c r="AE18" s="2">
        <f t="shared" si="10"/>
        <v>0.82499999999999996</v>
      </c>
      <c r="AF18" s="2">
        <f t="shared" si="10"/>
        <v>0.81499999999999995</v>
      </c>
    </row>
    <row r="19" spans="1:32">
      <c r="A19" s="12">
        <f t="shared" si="4"/>
        <v>550</v>
      </c>
      <c r="B19" s="5">
        <v>0.93500000000000005</v>
      </c>
      <c r="C19" s="2">
        <f t="shared" si="5"/>
        <v>0.9325</v>
      </c>
      <c r="D19" s="2">
        <f t="shared" si="5"/>
        <v>0.93</v>
      </c>
      <c r="E19" s="2">
        <f t="shared" si="1"/>
        <v>0.92749999999999999</v>
      </c>
      <c r="F19" s="2">
        <f t="shared" si="1"/>
        <v>0.92500000000000004</v>
      </c>
      <c r="G19" s="2">
        <f t="shared" si="1"/>
        <v>0.9225000000000001</v>
      </c>
      <c r="H19" s="2">
        <f t="shared" si="1"/>
        <v>0.92</v>
      </c>
      <c r="I19" s="2">
        <f t="shared" si="1"/>
        <v>0.91749999999999998</v>
      </c>
      <c r="J19" s="2">
        <f t="shared" si="1"/>
        <v>0.91500000000000004</v>
      </c>
      <c r="K19" s="2">
        <f t="shared" si="1"/>
        <v>0.91250000000000009</v>
      </c>
      <c r="L19" s="5">
        <v>0.91</v>
      </c>
      <c r="M19" s="2">
        <f t="shared" si="6"/>
        <v>0.90720000000000001</v>
      </c>
      <c r="N19" s="2">
        <f t="shared" si="6"/>
        <v>0.90439999999999998</v>
      </c>
      <c r="O19" s="2">
        <f t="shared" si="6"/>
        <v>0.90160000000000007</v>
      </c>
      <c r="P19" s="2">
        <f t="shared" si="6"/>
        <v>0.89880000000000004</v>
      </c>
      <c r="Q19" s="5">
        <v>0.89600000000000002</v>
      </c>
      <c r="R19" s="2">
        <f t="shared" si="7"/>
        <v>0.89360000000000006</v>
      </c>
      <c r="S19" s="2">
        <f t="shared" si="2"/>
        <v>0.89119999999999999</v>
      </c>
      <c r="T19" s="2">
        <f t="shared" si="2"/>
        <v>0.88880000000000003</v>
      </c>
      <c r="U19" s="2">
        <f t="shared" si="2"/>
        <v>0.88639999999999997</v>
      </c>
      <c r="V19" s="5">
        <v>0.88400000000000001</v>
      </c>
      <c r="W19" s="2">
        <f t="shared" si="8"/>
        <v>0.87780000000000002</v>
      </c>
      <c r="X19" s="2">
        <f t="shared" si="3"/>
        <v>0.87160000000000004</v>
      </c>
      <c r="Y19" s="2">
        <f t="shared" si="3"/>
        <v>0.86539999999999995</v>
      </c>
      <c r="Z19" s="2">
        <f t="shared" si="3"/>
        <v>0.85919999999999996</v>
      </c>
      <c r="AA19" s="5">
        <v>0.85299999999999998</v>
      </c>
      <c r="AB19" s="2">
        <f t="shared" si="9"/>
        <v>0.84066666666666667</v>
      </c>
      <c r="AC19" s="2">
        <f t="shared" si="9"/>
        <v>0.82833333333333325</v>
      </c>
      <c r="AD19" s="5">
        <v>0.81599999999999995</v>
      </c>
      <c r="AE19" s="2">
        <f t="shared" si="10"/>
        <v>0.80366666666666664</v>
      </c>
      <c r="AF19" s="2">
        <f t="shared" si="10"/>
        <v>0.79133333333333322</v>
      </c>
    </row>
    <row r="20" spans="1:32">
      <c r="A20" s="12">
        <f t="shared" si="4"/>
        <v>600</v>
      </c>
      <c r="B20" s="5">
        <v>0.93200000000000005</v>
      </c>
      <c r="C20" s="2">
        <f t="shared" si="5"/>
        <v>0.92910000000000004</v>
      </c>
      <c r="D20" s="2">
        <f t="shared" si="5"/>
        <v>0.92620000000000002</v>
      </c>
      <c r="E20" s="2">
        <f t="shared" si="1"/>
        <v>0.92330000000000001</v>
      </c>
      <c r="F20" s="2">
        <f t="shared" si="1"/>
        <v>0.9204</v>
      </c>
      <c r="G20" s="2">
        <f t="shared" si="1"/>
        <v>0.91749999999999998</v>
      </c>
      <c r="H20" s="2">
        <f t="shared" si="1"/>
        <v>0.91460000000000008</v>
      </c>
      <c r="I20" s="2">
        <f t="shared" si="1"/>
        <v>0.91170000000000007</v>
      </c>
      <c r="J20" s="2">
        <f t="shared" si="1"/>
        <v>0.90880000000000005</v>
      </c>
      <c r="K20" s="2">
        <f t="shared" si="1"/>
        <v>0.90590000000000004</v>
      </c>
      <c r="L20" s="5">
        <v>0.90300000000000002</v>
      </c>
      <c r="M20" s="2">
        <f t="shared" si="6"/>
        <v>0.89960000000000007</v>
      </c>
      <c r="N20" s="2">
        <f t="shared" si="6"/>
        <v>0.8962</v>
      </c>
      <c r="O20" s="2">
        <f t="shared" si="6"/>
        <v>0.89280000000000004</v>
      </c>
      <c r="P20" s="2">
        <f t="shared" si="6"/>
        <v>0.88939999999999997</v>
      </c>
      <c r="Q20" s="5">
        <v>0.88600000000000001</v>
      </c>
      <c r="R20" s="2">
        <f t="shared" si="7"/>
        <v>0.88300000000000001</v>
      </c>
      <c r="S20" s="2">
        <f t="shared" si="2"/>
        <v>0.88</v>
      </c>
      <c r="T20" s="2">
        <f t="shared" si="2"/>
        <v>0.877</v>
      </c>
      <c r="U20" s="2">
        <f t="shared" si="2"/>
        <v>0.874</v>
      </c>
      <c r="V20" s="5">
        <v>0.871</v>
      </c>
      <c r="W20" s="2">
        <f t="shared" si="8"/>
        <v>0.86399999999999999</v>
      </c>
      <c r="X20" s="2">
        <f t="shared" si="3"/>
        <v>0.85699999999999998</v>
      </c>
      <c r="Y20" s="2">
        <f t="shared" si="3"/>
        <v>0.85</v>
      </c>
      <c r="Z20" s="2">
        <f t="shared" si="3"/>
        <v>0.84299999999999997</v>
      </c>
      <c r="AA20" s="5">
        <v>0.83599999999999997</v>
      </c>
      <c r="AB20" s="2">
        <f t="shared" si="9"/>
        <v>0.82499999999999996</v>
      </c>
      <c r="AC20" s="2">
        <f t="shared" si="9"/>
        <v>0.81400000000000006</v>
      </c>
      <c r="AD20" s="5">
        <v>0.80300000000000005</v>
      </c>
      <c r="AE20" s="2">
        <f t="shared" si="10"/>
        <v>0.79200000000000004</v>
      </c>
      <c r="AF20" s="2">
        <f t="shared" si="10"/>
        <v>0.78100000000000014</v>
      </c>
    </row>
    <row r="21" spans="1:32">
      <c r="A21" s="12">
        <f t="shared" si="4"/>
        <v>650</v>
      </c>
      <c r="B21" s="5">
        <v>0.92700000000000005</v>
      </c>
      <c r="C21" s="2">
        <f t="shared" si="5"/>
        <v>0.92390000000000005</v>
      </c>
      <c r="D21" s="2">
        <f t="shared" si="5"/>
        <v>0.92080000000000006</v>
      </c>
      <c r="E21" s="2">
        <f t="shared" si="1"/>
        <v>0.91770000000000007</v>
      </c>
      <c r="F21" s="2">
        <f t="shared" si="1"/>
        <v>0.91460000000000008</v>
      </c>
      <c r="G21" s="2">
        <f t="shared" si="1"/>
        <v>0.91149999999999998</v>
      </c>
      <c r="H21" s="2">
        <f t="shared" si="1"/>
        <v>0.90839999999999999</v>
      </c>
      <c r="I21" s="2">
        <f t="shared" si="1"/>
        <v>0.90529999999999999</v>
      </c>
      <c r="J21" s="2">
        <f t="shared" si="1"/>
        <v>0.9022</v>
      </c>
      <c r="K21" s="2">
        <f t="shared" si="1"/>
        <v>0.89910000000000001</v>
      </c>
      <c r="L21" s="5">
        <v>0.89600000000000002</v>
      </c>
      <c r="M21" s="2">
        <f t="shared" si="6"/>
        <v>0.89260000000000006</v>
      </c>
      <c r="N21" s="2">
        <f t="shared" si="6"/>
        <v>0.88919999999999999</v>
      </c>
      <c r="O21" s="2">
        <f t="shared" si="6"/>
        <v>0.88580000000000003</v>
      </c>
      <c r="P21" s="2">
        <f t="shared" si="6"/>
        <v>0.88239999999999996</v>
      </c>
      <c r="Q21" s="5">
        <v>0.879</v>
      </c>
      <c r="R21" s="2">
        <f t="shared" si="7"/>
        <v>0.87580000000000002</v>
      </c>
      <c r="S21" s="2">
        <f t="shared" si="2"/>
        <v>0.87260000000000004</v>
      </c>
      <c r="T21" s="2">
        <f t="shared" si="2"/>
        <v>0.86939999999999995</v>
      </c>
      <c r="U21" s="2">
        <f t="shared" si="2"/>
        <v>0.86619999999999997</v>
      </c>
      <c r="V21" s="5">
        <v>0.86299999999999999</v>
      </c>
      <c r="W21" s="2">
        <f t="shared" si="8"/>
        <v>0.8548</v>
      </c>
      <c r="X21" s="2">
        <f t="shared" si="3"/>
        <v>0.84660000000000002</v>
      </c>
      <c r="Y21" s="2">
        <f t="shared" si="3"/>
        <v>0.83839999999999992</v>
      </c>
      <c r="Z21" s="2">
        <f t="shared" si="3"/>
        <v>0.83019999999999994</v>
      </c>
      <c r="AA21" s="5">
        <v>0.82199999999999995</v>
      </c>
      <c r="AB21" s="2">
        <f t="shared" si="9"/>
        <v>0.80966666666666665</v>
      </c>
      <c r="AC21" s="2">
        <f t="shared" si="9"/>
        <v>0.79733333333333334</v>
      </c>
      <c r="AD21" s="5">
        <v>0.78500000000000003</v>
      </c>
      <c r="AE21" s="2">
        <f t="shared" si="10"/>
        <v>0.77266666666666672</v>
      </c>
      <c r="AF21" s="2">
        <f t="shared" si="10"/>
        <v>0.76033333333333342</v>
      </c>
    </row>
    <row r="22" spans="1:32">
      <c r="A22" s="12">
        <f t="shared" si="4"/>
        <v>700</v>
      </c>
      <c r="B22" s="5">
        <v>0.92100000000000004</v>
      </c>
      <c r="C22" s="2">
        <f t="shared" si="5"/>
        <v>0.91760000000000008</v>
      </c>
      <c r="D22" s="2">
        <f t="shared" si="5"/>
        <v>0.91420000000000001</v>
      </c>
      <c r="E22" s="2">
        <f t="shared" si="1"/>
        <v>0.91080000000000005</v>
      </c>
      <c r="F22" s="2">
        <f t="shared" si="1"/>
        <v>0.90739999999999998</v>
      </c>
      <c r="G22" s="2">
        <f t="shared" si="1"/>
        <v>0.90400000000000003</v>
      </c>
      <c r="H22" s="2">
        <f t="shared" si="1"/>
        <v>0.90060000000000007</v>
      </c>
      <c r="I22" s="2">
        <f t="shared" si="1"/>
        <v>0.8972</v>
      </c>
      <c r="J22" s="2">
        <f t="shared" si="1"/>
        <v>0.89380000000000004</v>
      </c>
      <c r="K22" s="2">
        <f t="shared" si="1"/>
        <v>0.89039999999999997</v>
      </c>
      <c r="L22" s="5">
        <v>0.88700000000000001</v>
      </c>
      <c r="M22" s="2">
        <f t="shared" si="6"/>
        <v>0.88319999999999999</v>
      </c>
      <c r="N22" s="2">
        <f t="shared" si="6"/>
        <v>0.87939999999999996</v>
      </c>
      <c r="O22" s="2">
        <f t="shared" si="6"/>
        <v>0.87560000000000004</v>
      </c>
      <c r="P22" s="2">
        <f t="shared" si="6"/>
        <v>0.87180000000000002</v>
      </c>
      <c r="Q22" s="5">
        <v>0.86799999999999999</v>
      </c>
      <c r="R22" s="2">
        <f t="shared" si="7"/>
        <v>0.86480000000000001</v>
      </c>
      <c r="S22" s="2">
        <f t="shared" si="2"/>
        <v>0.86160000000000003</v>
      </c>
      <c r="T22" s="2">
        <f t="shared" si="2"/>
        <v>0.85839999999999994</v>
      </c>
      <c r="U22" s="2">
        <f t="shared" si="2"/>
        <v>0.85519999999999996</v>
      </c>
      <c r="V22" s="5">
        <v>0.85199999999999998</v>
      </c>
      <c r="W22" s="2">
        <f t="shared" si="8"/>
        <v>0.84399999999999997</v>
      </c>
      <c r="X22" s="2">
        <f t="shared" si="3"/>
        <v>0.83599999999999997</v>
      </c>
      <c r="Y22" s="2">
        <f t="shared" si="3"/>
        <v>0.82800000000000007</v>
      </c>
      <c r="Z22" s="2">
        <f t="shared" si="3"/>
        <v>0.82000000000000006</v>
      </c>
      <c r="AA22" s="5">
        <v>0.81200000000000006</v>
      </c>
      <c r="AB22" s="2">
        <f t="shared" si="9"/>
        <v>0.79800000000000004</v>
      </c>
      <c r="AC22" s="2">
        <f t="shared" si="9"/>
        <v>0.78400000000000003</v>
      </c>
      <c r="AD22" s="5">
        <v>0.77</v>
      </c>
      <c r="AE22" s="2">
        <f t="shared" si="10"/>
        <v>0.75600000000000001</v>
      </c>
      <c r="AF22" s="2">
        <f t="shared" si="10"/>
        <v>0.74199999999999999</v>
      </c>
    </row>
    <row r="23" spans="1:32">
      <c r="A23" s="12">
        <f t="shared" si="4"/>
        <v>750</v>
      </c>
      <c r="B23" s="5">
        <v>0.91600000000000004</v>
      </c>
      <c r="C23" s="2">
        <f t="shared" si="5"/>
        <v>0.91239999999999999</v>
      </c>
      <c r="D23" s="2">
        <f t="shared" si="5"/>
        <v>0.90880000000000005</v>
      </c>
      <c r="E23" s="2">
        <f t="shared" si="1"/>
        <v>0.9052</v>
      </c>
      <c r="F23" s="2">
        <f t="shared" si="1"/>
        <v>0.90160000000000007</v>
      </c>
      <c r="G23" s="2">
        <f t="shared" si="1"/>
        <v>0.89800000000000002</v>
      </c>
      <c r="H23" s="2">
        <f t="shared" si="1"/>
        <v>0.89439999999999997</v>
      </c>
      <c r="I23" s="2">
        <f t="shared" si="1"/>
        <v>0.89080000000000004</v>
      </c>
      <c r="J23" s="2">
        <f t="shared" si="1"/>
        <v>0.88719999999999999</v>
      </c>
      <c r="K23" s="2">
        <f t="shared" si="1"/>
        <v>0.88360000000000005</v>
      </c>
      <c r="L23" s="5">
        <v>0.88</v>
      </c>
      <c r="M23" s="2">
        <f t="shared" si="6"/>
        <v>0.876</v>
      </c>
      <c r="N23" s="2">
        <f t="shared" si="6"/>
        <v>0.872</v>
      </c>
      <c r="O23" s="2">
        <f t="shared" si="6"/>
        <v>0.86799999999999999</v>
      </c>
      <c r="P23" s="2">
        <f t="shared" si="6"/>
        <v>0.86399999999999999</v>
      </c>
      <c r="Q23" s="5">
        <v>0.86</v>
      </c>
      <c r="R23" s="2">
        <f t="shared" si="7"/>
        <v>0.85619999999999996</v>
      </c>
      <c r="S23" s="2">
        <f t="shared" si="2"/>
        <v>0.85239999999999994</v>
      </c>
      <c r="T23" s="2">
        <f t="shared" si="2"/>
        <v>0.84860000000000002</v>
      </c>
      <c r="U23" s="2">
        <f t="shared" si="2"/>
        <v>0.8448</v>
      </c>
      <c r="V23" s="5">
        <v>0.84099999999999997</v>
      </c>
      <c r="W23" s="2">
        <f t="shared" si="8"/>
        <v>0.83319999999999994</v>
      </c>
      <c r="X23" s="2">
        <f t="shared" si="3"/>
        <v>0.82540000000000002</v>
      </c>
      <c r="Y23" s="2">
        <f t="shared" si="3"/>
        <v>0.81759999999999999</v>
      </c>
      <c r="Z23" s="2">
        <f t="shared" si="3"/>
        <v>0.80980000000000008</v>
      </c>
      <c r="AA23" s="5">
        <v>0.80200000000000005</v>
      </c>
      <c r="AB23" s="2">
        <f t="shared" si="9"/>
        <v>0.78600000000000003</v>
      </c>
      <c r="AC23" s="2">
        <f t="shared" si="9"/>
        <v>0.77</v>
      </c>
      <c r="AD23" s="5">
        <v>0.754</v>
      </c>
      <c r="AE23" s="2">
        <f t="shared" si="10"/>
        <v>0.73799999999999999</v>
      </c>
      <c r="AF23" s="2">
        <f t="shared" si="10"/>
        <v>0.72199999999999998</v>
      </c>
    </row>
    <row r="24" spans="1:32">
      <c r="A24" s="12">
        <f t="shared" si="4"/>
        <v>800</v>
      </c>
      <c r="B24" s="5">
        <v>0.90900000000000003</v>
      </c>
      <c r="C24" s="2">
        <f t="shared" si="5"/>
        <v>0.90529999999999999</v>
      </c>
      <c r="D24" s="2">
        <f t="shared" si="5"/>
        <v>0.90160000000000007</v>
      </c>
      <c r="E24" s="2">
        <f t="shared" si="1"/>
        <v>0.89790000000000003</v>
      </c>
      <c r="F24" s="2">
        <f t="shared" si="1"/>
        <v>0.89419999999999999</v>
      </c>
      <c r="G24" s="2">
        <f t="shared" si="1"/>
        <v>0.89050000000000007</v>
      </c>
      <c r="H24" s="2">
        <f t="shared" si="1"/>
        <v>0.88680000000000003</v>
      </c>
      <c r="I24" s="2">
        <f t="shared" si="1"/>
        <v>0.8831</v>
      </c>
      <c r="J24" s="2">
        <f t="shared" si="1"/>
        <v>0.87939999999999996</v>
      </c>
      <c r="K24" s="2">
        <f t="shared" si="1"/>
        <v>0.87570000000000003</v>
      </c>
      <c r="L24" s="5">
        <v>0.872</v>
      </c>
      <c r="M24" s="2">
        <f t="shared" si="6"/>
        <v>0.86760000000000004</v>
      </c>
      <c r="N24" s="2">
        <f t="shared" si="6"/>
        <v>0.86319999999999997</v>
      </c>
      <c r="O24" s="2">
        <f t="shared" si="6"/>
        <v>0.85880000000000001</v>
      </c>
      <c r="P24" s="2">
        <f t="shared" si="6"/>
        <v>0.85439999999999994</v>
      </c>
      <c r="Q24" s="5">
        <v>0.85</v>
      </c>
      <c r="R24" s="2">
        <f t="shared" si="7"/>
        <v>0.84599999999999997</v>
      </c>
      <c r="S24" s="2">
        <f t="shared" si="2"/>
        <v>0.84199999999999997</v>
      </c>
      <c r="T24" s="2">
        <f t="shared" si="2"/>
        <v>0.83799999999999997</v>
      </c>
      <c r="U24" s="2">
        <f t="shared" si="2"/>
        <v>0.83399999999999996</v>
      </c>
      <c r="V24" s="5">
        <v>0.83</v>
      </c>
      <c r="W24" s="2">
        <f t="shared" si="8"/>
        <v>0.82179999999999997</v>
      </c>
      <c r="X24" s="2">
        <f t="shared" si="3"/>
        <v>0.81359999999999999</v>
      </c>
      <c r="Y24" s="2">
        <f t="shared" si="3"/>
        <v>0.8054</v>
      </c>
      <c r="Z24" s="2">
        <f t="shared" si="3"/>
        <v>0.79720000000000002</v>
      </c>
      <c r="AA24" s="5">
        <v>0.78900000000000003</v>
      </c>
      <c r="AB24" s="2">
        <f t="shared" si="9"/>
        <v>0.77266666666666672</v>
      </c>
      <c r="AC24" s="2">
        <f t="shared" si="9"/>
        <v>0.7563333333333333</v>
      </c>
      <c r="AD24" s="5">
        <v>0.74</v>
      </c>
      <c r="AE24" s="2">
        <f t="shared" si="10"/>
        <v>0.72366666666666668</v>
      </c>
      <c r="AF24" s="2">
        <f t="shared" si="10"/>
        <v>0.70733333333333326</v>
      </c>
    </row>
    <row r="25" spans="1:32">
      <c r="A25" s="12">
        <f t="shared" si="4"/>
        <v>850</v>
      </c>
      <c r="B25" s="5">
        <v>0.90500000000000003</v>
      </c>
      <c r="C25" s="2">
        <f t="shared" si="5"/>
        <v>0.90090000000000003</v>
      </c>
      <c r="D25" s="2">
        <f t="shared" si="5"/>
        <v>0.89680000000000004</v>
      </c>
      <c r="E25" s="2">
        <f t="shared" si="5"/>
        <v>0.89270000000000005</v>
      </c>
      <c r="F25" s="2">
        <f t="shared" si="5"/>
        <v>0.88860000000000006</v>
      </c>
      <c r="G25" s="2">
        <f t="shared" si="5"/>
        <v>0.88449999999999995</v>
      </c>
      <c r="H25" s="2">
        <f t="shared" si="5"/>
        <v>0.88039999999999996</v>
      </c>
      <c r="I25" s="2">
        <f t="shared" si="5"/>
        <v>0.87629999999999997</v>
      </c>
      <c r="J25" s="2">
        <f t="shared" si="5"/>
        <v>0.87219999999999998</v>
      </c>
      <c r="K25" s="2">
        <f t="shared" si="5"/>
        <v>0.86809999999999998</v>
      </c>
      <c r="L25" s="5">
        <v>0.86399999999999999</v>
      </c>
      <c r="M25" s="2">
        <f t="shared" si="6"/>
        <v>0.85899999999999999</v>
      </c>
      <c r="N25" s="2">
        <f t="shared" si="6"/>
        <v>0.85399999999999998</v>
      </c>
      <c r="O25" s="2">
        <f t="shared" si="6"/>
        <v>0.84899999999999998</v>
      </c>
      <c r="P25" s="2">
        <f t="shared" si="6"/>
        <v>0.84399999999999997</v>
      </c>
      <c r="Q25" s="5">
        <v>0.83899999999999997</v>
      </c>
      <c r="R25" s="2">
        <f t="shared" si="7"/>
        <v>0.83460000000000001</v>
      </c>
      <c r="S25" s="2">
        <f t="shared" si="7"/>
        <v>0.83019999999999994</v>
      </c>
      <c r="T25" s="2">
        <f t="shared" si="7"/>
        <v>0.82579999999999998</v>
      </c>
      <c r="U25" s="2">
        <f t="shared" si="7"/>
        <v>0.82139999999999991</v>
      </c>
      <c r="V25" s="5">
        <v>0.81699999999999995</v>
      </c>
      <c r="W25" s="2">
        <f t="shared" si="8"/>
        <v>0.80799999999999994</v>
      </c>
      <c r="X25" s="2">
        <f t="shared" si="8"/>
        <v>0.79899999999999993</v>
      </c>
      <c r="Y25" s="2">
        <f t="shared" si="8"/>
        <v>0.79</v>
      </c>
      <c r="Z25" s="2">
        <f t="shared" si="8"/>
        <v>0.78100000000000003</v>
      </c>
      <c r="AA25" s="5">
        <v>0.77200000000000002</v>
      </c>
      <c r="AB25" s="2">
        <f t="shared" si="9"/>
        <v>0.7543333333333333</v>
      </c>
      <c r="AC25" s="2">
        <f t="shared" si="9"/>
        <v>0.73666666666666669</v>
      </c>
      <c r="AD25" s="5">
        <v>0.71899999999999997</v>
      </c>
      <c r="AE25" s="2">
        <f t="shared" si="10"/>
        <v>0.70133333333333325</v>
      </c>
      <c r="AF25" s="2">
        <f t="shared" si="10"/>
        <v>0.68366666666666664</v>
      </c>
    </row>
    <row r="26" spans="1:32">
      <c r="A26" s="12">
        <f t="shared" si="4"/>
        <v>900</v>
      </c>
      <c r="B26" s="5">
        <v>0.90100000000000002</v>
      </c>
      <c r="C26" s="2">
        <f t="shared" si="5"/>
        <v>0.89680000000000004</v>
      </c>
      <c r="D26" s="2">
        <f t="shared" si="5"/>
        <v>0.89260000000000006</v>
      </c>
      <c r="E26" s="2">
        <f t="shared" si="5"/>
        <v>0.88839999999999997</v>
      </c>
      <c r="F26" s="2">
        <f t="shared" si="5"/>
        <v>0.88419999999999999</v>
      </c>
      <c r="G26" s="2">
        <f t="shared" si="5"/>
        <v>0.88</v>
      </c>
      <c r="H26" s="2">
        <f t="shared" si="5"/>
        <v>0.87580000000000002</v>
      </c>
      <c r="I26" s="2">
        <f t="shared" si="5"/>
        <v>0.87160000000000004</v>
      </c>
      <c r="J26" s="2">
        <f t="shared" si="5"/>
        <v>0.86739999999999995</v>
      </c>
      <c r="K26" s="2">
        <f t="shared" si="5"/>
        <v>0.86319999999999997</v>
      </c>
      <c r="L26" s="5">
        <v>0.85899999999999999</v>
      </c>
      <c r="M26" s="2">
        <f t="shared" si="6"/>
        <v>0.85319999999999996</v>
      </c>
      <c r="N26" s="2">
        <f t="shared" si="6"/>
        <v>0.84739999999999993</v>
      </c>
      <c r="O26" s="2">
        <f t="shared" si="6"/>
        <v>0.84160000000000001</v>
      </c>
      <c r="P26" s="2">
        <f t="shared" si="6"/>
        <v>0.83579999999999999</v>
      </c>
      <c r="Q26" s="5">
        <v>0.83</v>
      </c>
      <c r="R26" s="2">
        <f t="shared" si="7"/>
        <v>0.82519999999999993</v>
      </c>
      <c r="S26" s="2">
        <f t="shared" si="7"/>
        <v>0.82040000000000002</v>
      </c>
      <c r="T26" s="2">
        <f t="shared" si="7"/>
        <v>0.81559999999999999</v>
      </c>
      <c r="U26" s="2">
        <f t="shared" si="7"/>
        <v>0.81080000000000008</v>
      </c>
      <c r="V26" s="5">
        <v>0.80600000000000005</v>
      </c>
      <c r="W26" s="2">
        <f t="shared" si="8"/>
        <v>0.79660000000000009</v>
      </c>
      <c r="X26" s="2">
        <f t="shared" si="8"/>
        <v>0.78720000000000001</v>
      </c>
      <c r="Y26" s="2">
        <f t="shared" si="8"/>
        <v>0.77780000000000005</v>
      </c>
      <c r="Z26" s="2">
        <f t="shared" si="8"/>
        <v>0.76839999999999997</v>
      </c>
      <c r="AA26" s="5">
        <v>0.75900000000000001</v>
      </c>
      <c r="AB26" s="2">
        <f t="shared" si="9"/>
        <v>0.74033333333333329</v>
      </c>
      <c r="AC26" s="2">
        <f t="shared" si="9"/>
        <v>0.72166666666666668</v>
      </c>
      <c r="AD26" s="5">
        <v>0.70299999999999996</v>
      </c>
      <c r="AE26" s="2">
        <f t="shared" si="10"/>
        <v>0.68433333333333324</v>
      </c>
      <c r="AF26" s="2">
        <f t="shared" si="10"/>
        <v>0.66566666666666663</v>
      </c>
    </row>
    <row r="27" spans="1:32">
      <c r="A27" s="12">
        <f t="shared" si="4"/>
        <v>950</v>
      </c>
      <c r="B27" s="5">
        <v>0.89600000000000002</v>
      </c>
      <c r="C27" s="2">
        <f t="shared" si="5"/>
        <v>0.89170000000000005</v>
      </c>
      <c r="D27" s="2">
        <f t="shared" si="5"/>
        <v>0.88739999999999997</v>
      </c>
      <c r="E27" s="2">
        <f t="shared" si="5"/>
        <v>0.8831</v>
      </c>
      <c r="F27" s="2">
        <f t="shared" si="5"/>
        <v>0.87880000000000003</v>
      </c>
      <c r="G27" s="2">
        <f t="shared" si="5"/>
        <v>0.87450000000000006</v>
      </c>
      <c r="H27" s="2">
        <f t="shared" si="5"/>
        <v>0.87019999999999997</v>
      </c>
      <c r="I27" s="2">
        <f t="shared" si="5"/>
        <v>0.8659</v>
      </c>
      <c r="J27" s="2">
        <f t="shared" si="5"/>
        <v>0.86160000000000003</v>
      </c>
      <c r="K27" s="2">
        <f t="shared" si="5"/>
        <v>0.85729999999999995</v>
      </c>
      <c r="L27" s="5">
        <v>0.85299999999999998</v>
      </c>
      <c r="M27" s="2">
        <f t="shared" si="6"/>
        <v>0.84639999999999993</v>
      </c>
      <c r="N27" s="2">
        <f t="shared" si="6"/>
        <v>0.83979999999999999</v>
      </c>
      <c r="O27" s="2">
        <f t="shared" si="6"/>
        <v>0.83319999999999994</v>
      </c>
      <c r="P27" s="2">
        <f t="shared" si="6"/>
        <v>0.8266</v>
      </c>
      <c r="Q27" s="5">
        <v>0.82</v>
      </c>
      <c r="R27" s="2">
        <f t="shared" si="7"/>
        <v>0.81599999999999995</v>
      </c>
      <c r="S27" s="2">
        <f t="shared" si="7"/>
        <v>0.81199999999999994</v>
      </c>
      <c r="T27" s="2">
        <f t="shared" si="7"/>
        <v>0.80800000000000005</v>
      </c>
      <c r="U27" s="2">
        <f t="shared" si="7"/>
        <v>0.80400000000000005</v>
      </c>
      <c r="V27" s="5">
        <v>0.8</v>
      </c>
      <c r="W27" s="2">
        <f t="shared" si="8"/>
        <v>0.79</v>
      </c>
      <c r="X27" s="2">
        <f t="shared" si="8"/>
        <v>0.78</v>
      </c>
      <c r="Y27" s="2">
        <f t="shared" si="8"/>
        <v>0.77</v>
      </c>
      <c r="Z27" s="2">
        <f t="shared" si="8"/>
        <v>0.76</v>
      </c>
      <c r="AA27" s="5">
        <v>0.75</v>
      </c>
      <c r="AB27" s="2">
        <f t="shared" si="9"/>
        <v>0.73</v>
      </c>
      <c r="AC27" s="2">
        <f t="shared" si="9"/>
        <v>0.71</v>
      </c>
      <c r="AD27" s="5">
        <v>0.69</v>
      </c>
      <c r="AE27" s="2">
        <f t="shared" si="10"/>
        <v>0.66999999999999993</v>
      </c>
      <c r="AF27" s="2">
        <f t="shared" si="10"/>
        <v>0.64999999999999991</v>
      </c>
    </row>
    <row r="28" spans="1:32">
      <c r="A28" s="12">
        <f t="shared" si="4"/>
        <v>1000</v>
      </c>
      <c r="B28" s="5">
        <v>0.89</v>
      </c>
      <c r="C28" s="2">
        <f t="shared" si="5"/>
        <v>0.88549999999999995</v>
      </c>
      <c r="D28" s="2">
        <f t="shared" si="5"/>
        <v>0.88100000000000001</v>
      </c>
      <c r="E28" s="2">
        <f t="shared" si="5"/>
        <v>0.87650000000000006</v>
      </c>
      <c r="F28" s="2">
        <f t="shared" si="5"/>
        <v>0.872</v>
      </c>
      <c r="G28" s="2">
        <f t="shared" si="5"/>
        <v>0.86749999999999994</v>
      </c>
      <c r="H28" s="2">
        <f t="shared" si="5"/>
        <v>0.86299999999999999</v>
      </c>
      <c r="I28" s="2">
        <f t="shared" si="5"/>
        <v>0.85850000000000004</v>
      </c>
      <c r="J28" s="2">
        <f t="shared" si="5"/>
        <v>0.85399999999999998</v>
      </c>
      <c r="K28" s="2">
        <f t="shared" si="5"/>
        <v>0.84949999999999992</v>
      </c>
      <c r="L28" s="5">
        <v>0.84499999999999997</v>
      </c>
      <c r="M28" s="2">
        <f t="shared" si="6"/>
        <v>0.83879999999999999</v>
      </c>
      <c r="N28" s="2">
        <f t="shared" si="6"/>
        <v>0.83260000000000001</v>
      </c>
      <c r="O28" s="2">
        <f t="shared" si="6"/>
        <v>0.82639999999999991</v>
      </c>
      <c r="P28" s="2">
        <f t="shared" si="6"/>
        <v>0.82019999999999993</v>
      </c>
      <c r="Q28" s="5">
        <v>0.81399999999999995</v>
      </c>
      <c r="R28" s="2">
        <f t="shared" si="7"/>
        <v>0.80819999999999992</v>
      </c>
      <c r="S28" s="2">
        <f t="shared" si="7"/>
        <v>0.8024</v>
      </c>
      <c r="T28" s="2">
        <f t="shared" si="7"/>
        <v>0.79659999999999997</v>
      </c>
      <c r="U28" s="2">
        <f t="shared" si="7"/>
        <v>0.79080000000000006</v>
      </c>
      <c r="V28" s="5">
        <v>0.78500000000000003</v>
      </c>
      <c r="W28" s="2">
        <f t="shared" si="8"/>
        <v>0.77500000000000002</v>
      </c>
      <c r="X28" s="2">
        <f t="shared" si="8"/>
        <v>0.76500000000000001</v>
      </c>
      <c r="Y28" s="2">
        <f t="shared" si="8"/>
        <v>0.755</v>
      </c>
      <c r="Z28" s="2">
        <f t="shared" si="8"/>
        <v>0.745</v>
      </c>
      <c r="AA28" s="5">
        <v>0.73499999999999999</v>
      </c>
      <c r="AB28" s="2">
        <f t="shared" si="9"/>
        <v>0.71499999999999997</v>
      </c>
      <c r="AC28" s="2">
        <f t="shared" si="9"/>
        <v>0.69500000000000006</v>
      </c>
      <c r="AD28" s="5">
        <v>0.67500000000000004</v>
      </c>
      <c r="AE28" s="2">
        <f t="shared" si="10"/>
        <v>0.65500000000000003</v>
      </c>
      <c r="AF28" s="2">
        <f t="shared" si="10"/>
        <v>0.63500000000000012</v>
      </c>
    </row>
    <row r="29" spans="1:32">
      <c r="A29" s="12">
        <f t="shared" si="4"/>
        <v>1050</v>
      </c>
      <c r="B29" s="5">
        <v>0.88500000000000001</v>
      </c>
      <c r="C29" s="2">
        <f t="shared" si="5"/>
        <v>0.88009999999999999</v>
      </c>
      <c r="D29" s="2">
        <f t="shared" si="5"/>
        <v>0.87519999999999998</v>
      </c>
      <c r="E29" s="2">
        <f t="shared" si="5"/>
        <v>0.87029999999999996</v>
      </c>
      <c r="F29" s="2">
        <f t="shared" si="5"/>
        <v>0.86539999999999995</v>
      </c>
      <c r="G29" s="2">
        <f t="shared" si="5"/>
        <v>0.86049999999999993</v>
      </c>
      <c r="H29" s="2">
        <f t="shared" si="5"/>
        <v>0.85560000000000003</v>
      </c>
      <c r="I29" s="2">
        <f t="shared" si="5"/>
        <v>0.85070000000000001</v>
      </c>
      <c r="J29" s="2">
        <f t="shared" si="5"/>
        <v>0.8458</v>
      </c>
      <c r="K29" s="2">
        <f t="shared" si="5"/>
        <v>0.84089999999999998</v>
      </c>
      <c r="L29" s="5">
        <v>0.83599999999999997</v>
      </c>
      <c r="M29" s="2">
        <f t="shared" si="6"/>
        <v>0.82979999999999998</v>
      </c>
      <c r="N29" s="2">
        <f t="shared" si="6"/>
        <v>0.8236</v>
      </c>
      <c r="O29" s="2">
        <f t="shared" si="6"/>
        <v>0.81740000000000002</v>
      </c>
      <c r="P29" s="2">
        <f t="shared" si="6"/>
        <v>0.81120000000000003</v>
      </c>
      <c r="Q29" s="5">
        <v>0.80500000000000005</v>
      </c>
      <c r="R29" s="2">
        <f t="shared" si="7"/>
        <v>0.7984</v>
      </c>
      <c r="S29" s="2">
        <f t="shared" si="7"/>
        <v>0.79180000000000006</v>
      </c>
      <c r="T29" s="2">
        <f t="shared" si="7"/>
        <v>0.78520000000000001</v>
      </c>
      <c r="U29" s="2">
        <f t="shared" si="7"/>
        <v>0.77860000000000007</v>
      </c>
      <c r="V29" s="5">
        <v>0.77200000000000002</v>
      </c>
      <c r="W29" s="2">
        <f t="shared" si="8"/>
        <v>0.76160000000000005</v>
      </c>
      <c r="X29" s="2">
        <f t="shared" si="8"/>
        <v>0.75119999999999998</v>
      </c>
      <c r="Y29" s="2">
        <f t="shared" si="8"/>
        <v>0.74080000000000001</v>
      </c>
      <c r="Z29" s="2">
        <f t="shared" si="8"/>
        <v>0.73039999999999994</v>
      </c>
      <c r="AA29" s="5">
        <v>0.72</v>
      </c>
      <c r="AB29" s="2">
        <f t="shared" si="9"/>
        <v>0.69733333333333336</v>
      </c>
      <c r="AC29" s="2">
        <f t="shared" si="9"/>
        <v>0.67466666666666664</v>
      </c>
      <c r="AD29" s="5">
        <v>0.65200000000000002</v>
      </c>
      <c r="AE29" s="2">
        <f t="shared" si="10"/>
        <v>0.62933333333333341</v>
      </c>
      <c r="AF29" s="2">
        <f t="shared" si="10"/>
        <v>0.60666666666666669</v>
      </c>
    </row>
    <row r="30" spans="1:32">
      <c r="A30" s="12">
        <f t="shared" si="4"/>
        <v>1100</v>
      </c>
      <c r="B30" s="5">
        <v>0.88</v>
      </c>
      <c r="C30" s="2">
        <f t="shared" si="5"/>
        <v>0.87480000000000002</v>
      </c>
      <c r="D30" s="2">
        <f t="shared" si="5"/>
        <v>0.86960000000000004</v>
      </c>
      <c r="E30" s="2">
        <f t="shared" si="5"/>
        <v>0.86439999999999995</v>
      </c>
      <c r="F30" s="2">
        <f t="shared" si="5"/>
        <v>0.85919999999999996</v>
      </c>
      <c r="G30" s="2">
        <f t="shared" si="5"/>
        <v>0.85399999999999998</v>
      </c>
      <c r="H30" s="2">
        <f t="shared" si="5"/>
        <v>0.8488</v>
      </c>
      <c r="I30" s="2">
        <f t="shared" si="5"/>
        <v>0.84360000000000002</v>
      </c>
      <c r="J30" s="2">
        <f t="shared" si="5"/>
        <v>0.83839999999999992</v>
      </c>
      <c r="K30" s="2">
        <f t="shared" si="5"/>
        <v>0.83319999999999994</v>
      </c>
      <c r="L30" s="5">
        <v>0.82799999999999996</v>
      </c>
      <c r="M30" s="2">
        <f t="shared" si="6"/>
        <v>0.8216</v>
      </c>
      <c r="N30" s="2">
        <f t="shared" si="6"/>
        <v>0.81520000000000004</v>
      </c>
      <c r="O30" s="2">
        <f t="shared" si="6"/>
        <v>0.80879999999999996</v>
      </c>
      <c r="P30" s="2">
        <f t="shared" si="6"/>
        <v>0.8024</v>
      </c>
      <c r="Q30" s="5">
        <v>0.79600000000000004</v>
      </c>
      <c r="R30" s="2">
        <f t="shared" si="7"/>
        <v>0.78900000000000003</v>
      </c>
      <c r="S30" s="2">
        <f t="shared" si="7"/>
        <v>0.78200000000000003</v>
      </c>
      <c r="T30" s="2">
        <f t="shared" si="7"/>
        <v>0.77500000000000002</v>
      </c>
      <c r="U30" s="2">
        <f t="shared" si="7"/>
        <v>0.76800000000000002</v>
      </c>
      <c r="V30" s="5">
        <v>0.76100000000000001</v>
      </c>
      <c r="W30" s="2">
        <f t="shared" si="8"/>
        <v>0.75060000000000004</v>
      </c>
      <c r="X30" s="2">
        <f t="shared" si="8"/>
        <v>0.74019999999999997</v>
      </c>
      <c r="Y30" s="2">
        <f t="shared" si="8"/>
        <v>0.7298</v>
      </c>
      <c r="Z30" s="2">
        <f t="shared" si="8"/>
        <v>0.71939999999999993</v>
      </c>
      <c r="AA30" s="5">
        <v>0.70899999999999996</v>
      </c>
      <c r="AB30" s="2">
        <f t="shared" si="9"/>
        <v>0.68299999999999994</v>
      </c>
      <c r="AC30" s="2">
        <f t="shared" si="9"/>
        <v>0.65700000000000003</v>
      </c>
      <c r="AD30" s="5">
        <v>0.63100000000000001</v>
      </c>
      <c r="AE30" s="2">
        <f t="shared" si="10"/>
        <v>0.60499999999999998</v>
      </c>
      <c r="AF30" s="2">
        <f t="shared" si="10"/>
        <v>0.57900000000000007</v>
      </c>
    </row>
    <row r="31" spans="1:32">
      <c r="A31" s="12">
        <f t="shared" si="4"/>
        <v>1150</v>
      </c>
      <c r="B31" s="5">
        <v>0.875</v>
      </c>
      <c r="C31" s="2">
        <f t="shared" si="5"/>
        <v>0.86970000000000003</v>
      </c>
      <c r="D31" s="2">
        <f t="shared" si="5"/>
        <v>0.86439999999999995</v>
      </c>
      <c r="E31" s="2">
        <f t="shared" si="5"/>
        <v>0.85909999999999997</v>
      </c>
      <c r="F31" s="2">
        <f t="shared" si="5"/>
        <v>0.8538</v>
      </c>
      <c r="G31" s="2">
        <f t="shared" si="5"/>
        <v>0.84849999999999992</v>
      </c>
      <c r="H31" s="2">
        <f t="shared" si="5"/>
        <v>0.84319999999999995</v>
      </c>
      <c r="I31" s="2">
        <f t="shared" si="5"/>
        <v>0.83789999999999998</v>
      </c>
      <c r="J31" s="2">
        <f t="shared" si="5"/>
        <v>0.83260000000000001</v>
      </c>
      <c r="K31" s="2">
        <f t="shared" si="5"/>
        <v>0.82729999999999992</v>
      </c>
      <c r="L31" s="5">
        <v>0.82199999999999995</v>
      </c>
      <c r="M31" s="2">
        <f t="shared" si="6"/>
        <v>0.81519999999999992</v>
      </c>
      <c r="N31" s="2">
        <f t="shared" si="6"/>
        <v>0.80840000000000001</v>
      </c>
      <c r="O31" s="2">
        <f t="shared" si="6"/>
        <v>0.80159999999999998</v>
      </c>
      <c r="P31" s="2">
        <f t="shared" si="6"/>
        <v>0.79480000000000006</v>
      </c>
      <c r="Q31" s="5">
        <v>0.78800000000000003</v>
      </c>
      <c r="R31" s="2">
        <f t="shared" si="7"/>
        <v>0.78100000000000003</v>
      </c>
      <c r="S31" s="2">
        <f t="shared" si="7"/>
        <v>0.77400000000000002</v>
      </c>
      <c r="T31" s="2">
        <f t="shared" si="7"/>
        <v>0.76700000000000002</v>
      </c>
      <c r="U31" s="2">
        <f t="shared" si="7"/>
        <v>0.76</v>
      </c>
      <c r="V31" s="5">
        <v>0.753</v>
      </c>
      <c r="W31" s="2">
        <f t="shared" si="8"/>
        <v>0.74239999999999995</v>
      </c>
      <c r="X31" s="2">
        <f t="shared" si="8"/>
        <v>0.73180000000000001</v>
      </c>
      <c r="Y31" s="2">
        <f t="shared" si="8"/>
        <v>0.72119999999999995</v>
      </c>
      <c r="Z31" s="2">
        <f t="shared" si="8"/>
        <v>0.71060000000000001</v>
      </c>
      <c r="AA31" s="5">
        <v>0.7</v>
      </c>
      <c r="AB31" s="2">
        <f t="shared" si="9"/>
        <v>0.67199999999999993</v>
      </c>
      <c r="AC31" s="2">
        <f t="shared" si="9"/>
        <v>0.64400000000000002</v>
      </c>
      <c r="AD31" s="5">
        <v>0.61599999999999999</v>
      </c>
      <c r="AE31" s="2">
        <f t="shared" si="10"/>
        <v>0.58799999999999997</v>
      </c>
      <c r="AF31" s="2">
        <f t="shared" si="10"/>
        <v>0.56000000000000005</v>
      </c>
    </row>
    <row r="32" spans="1:32">
      <c r="A32" s="12">
        <f t="shared" si="4"/>
        <v>1200</v>
      </c>
      <c r="B32" s="5">
        <v>0.87</v>
      </c>
      <c r="C32" s="2">
        <f t="shared" si="5"/>
        <v>0.86480000000000001</v>
      </c>
      <c r="D32" s="2">
        <f t="shared" si="5"/>
        <v>0.85960000000000003</v>
      </c>
      <c r="E32" s="2">
        <f t="shared" si="5"/>
        <v>0.85439999999999994</v>
      </c>
      <c r="F32" s="2">
        <f t="shared" si="5"/>
        <v>0.84919999999999995</v>
      </c>
      <c r="G32" s="2">
        <f t="shared" si="5"/>
        <v>0.84399999999999997</v>
      </c>
      <c r="H32" s="2">
        <f t="shared" si="5"/>
        <v>0.83879999999999999</v>
      </c>
      <c r="I32" s="2">
        <f t="shared" si="5"/>
        <v>0.83360000000000001</v>
      </c>
      <c r="J32" s="2">
        <f t="shared" si="5"/>
        <v>0.82839999999999991</v>
      </c>
      <c r="K32" s="2">
        <f t="shared" si="5"/>
        <v>0.82319999999999993</v>
      </c>
      <c r="L32" s="5">
        <v>0.81799999999999995</v>
      </c>
      <c r="M32" s="2">
        <f t="shared" si="6"/>
        <v>0.81040000000000001</v>
      </c>
      <c r="N32" s="2">
        <f t="shared" si="6"/>
        <v>0.80279999999999996</v>
      </c>
      <c r="O32" s="2">
        <f t="shared" si="6"/>
        <v>0.79520000000000002</v>
      </c>
      <c r="P32" s="2">
        <f t="shared" si="6"/>
        <v>0.78759999999999997</v>
      </c>
      <c r="Q32" s="5">
        <v>0.78</v>
      </c>
      <c r="R32" s="2">
        <f t="shared" si="7"/>
        <v>0.77300000000000002</v>
      </c>
      <c r="S32" s="2">
        <f t="shared" si="7"/>
        <v>0.76600000000000001</v>
      </c>
      <c r="T32" s="2">
        <f t="shared" si="7"/>
        <v>0.75900000000000001</v>
      </c>
      <c r="U32" s="2">
        <f t="shared" si="7"/>
        <v>0.752</v>
      </c>
      <c r="V32" s="5">
        <v>0.745</v>
      </c>
      <c r="W32" s="2">
        <f t="shared" si="8"/>
        <v>0.73380000000000001</v>
      </c>
      <c r="X32" s="2">
        <f t="shared" si="8"/>
        <v>0.72260000000000002</v>
      </c>
      <c r="Y32" s="2">
        <f t="shared" si="8"/>
        <v>0.71139999999999992</v>
      </c>
      <c r="Z32" s="2">
        <f t="shared" si="8"/>
        <v>0.70019999999999993</v>
      </c>
      <c r="AA32" s="5">
        <v>0.68899999999999995</v>
      </c>
      <c r="AB32" s="2">
        <f t="shared" si="9"/>
        <v>0.66099999999999992</v>
      </c>
      <c r="AC32" s="2">
        <f t="shared" si="9"/>
        <v>0.63300000000000001</v>
      </c>
      <c r="AD32" s="5">
        <v>0.60499999999999998</v>
      </c>
      <c r="AE32" s="2">
        <f t="shared" si="10"/>
        <v>0.57699999999999996</v>
      </c>
      <c r="AF32" s="2">
        <f t="shared" si="10"/>
        <v>0.54900000000000004</v>
      </c>
    </row>
    <row r="33" spans="1:32">
      <c r="A33" s="12">
        <f>A32+50</f>
        <v>1250</v>
      </c>
      <c r="B33" s="5">
        <v>0.86699999999999999</v>
      </c>
      <c r="C33" s="2">
        <f t="shared" si="5"/>
        <v>0.86150000000000004</v>
      </c>
      <c r="D33" s="2">
        <f t="shared" si="5"/>
        <v>0.85599999999999998</v>
      </c>
      <c r="E33" s="2">
        <f t="shared" si="5"/>
        <v>0.85050000000000003</v>
      </c>
      <c r="F33" s="2">
        <f t="shared" si="5"/>
        <v>0.84499999999999997</v>
      </c>
      <c r="G33" s="2">
        <f t="shared" si="5"/>
        <v>0.83950000000000002</v>
      </c>
      <c r="H33" s="2">
        <f t="shared" si="5"/>
        <v>0.83400000000000007</v>
      </c>
      <c r="I33" s="2">
        <f t="shared" si="5"/>
        <v>0.82850000000000001</v>
      </c>
      <c r="J33" s="2">
        <f t="shared" si="5"/>
        <v>0.82300000000000006</v>
      </c>
      <c r="K33" s="2">
        <f t="shared" si="5"/>
        <v>0.8175</v>
      </c>
      <c r="L33" s="5">
        <v>0.81200000000000006</v>
      </c>
      <c r="M33" s="2">
        <f t="shared" si="6"/>
        <v>0.80360000000000009</v>
      </c>
      <c r="N33" s="2">
        <f t="shared" si="6"/>
        <v>0.79520000000000002</v>
      </c>
      <c r="O33" s="2">
        <f t="shared" si="6"/>
        <v>0.78680000000000005</v>
      </c>
      <c r="P33" s="2">
        <f t="shared" si="6"/>
        <v>0.77839999999999998</v>
      </c>
      <c r="Q33" s="5">
        <v>0.77</v>
      </c>
      <c r="R33" s="2">
        <f t="shared" si="7"/>
        <v>0.76319999999999999</v>
      </c>
      <c r="S33" s="2">
        <f t="shared" si="7"/>
        <v>0.75639999999999996</v>
      </c>
      <c r="T33" s="2">
        <f t="shared" si="7"/>
        <v>0.74960000000000004</v>
      </c>
      <c r="U33" s="2">
        <f t="shared" si="7"/>
        <v>0.74280000000000002</v>
      </c>
      <c r="V33" s="5">
        <v>0.73599999999999999</v>
      </c>
      <c r="W33" s="2">
        <f t="shared" si="8"/>
        <v>0.72399999999999998</v>
      </c>
      <c r="X33" s="2">
        <f t="shared" si="8"/>
        <v>0.71199999999999997</v>
      </c>
      <c r="Y33" s="2">
        <f t="shared" si="8"/>
        <v>0.70000000000000007</v>
      </c>
      <c r="Z33" s="2">
        <f t="shared" si="8"/>
        <v>0.68800000000000006</v>
      </c>
      <c r="AA33" s="5">
        <v>0.67600000000000005</v>
      </c>
      <c r="AB33" s="2">
        <f t="shared" si="9"/>
        <v>0.64733333333333332</v>
      </c>
      <c r="AC33" s="2">
        <f t="shared" si="9"/>
        <v>0.6186666666666667</v>
      </c>
      <c r="AD33" s="5">
        <v>0.59</v>
      </c>
      <c r="AE33" s="2">
        <f t="shared" si="10"/>
        <v>0.56133333333333324</v>
      </c>
      <c r="AF33" s="2">
        <f t="shared" si="10"/>
        <v>0.53266666666666662</v>
      </c>
    </row>
    <row r="41" spans="1:32">
      <c r="A41" t="s">
        <v>14</v>
      </c>
    </row>
    <row r="43" spans="1:32">
      <c r="A43">
        <v>150</v>
      </c>
      <c r="C43" t="s">
        <v>73</v>
      </c>
      <c r="G43">
        <v>95</v>
      </c>
      <c r="I43" t="s">
        <v>95</v>
      </c>
      <c r="M43">
        <v>40</v>
      </c>
      <c r="O43" t="s">
        <v>86</v>
      </c>
    </row>
    <row r="44" spans="1:32">
      <c r="A44">
        <f t="shared" ref="A44:A53" si="11">A43-5</f>
        <v>145</v>
      </c>
      <c r="C44" t="s">
        <v>103</v>
      </c>
      <c r="G44">
        <f t="shared" ref="G44:G53" si="12">G43-5</f>
        <v>90</v>
      </c>
      <c r="I44" t="s">
        <v>94</v>
      </c>
      <c r="M44">
        <f t="shared" ref="M44:M51" si="13">M43-5</f>
        <v>35</v>
      </c>
      <c r="O44" t="s">
        <v>85</v>
      </c>
    </row>
    <row r="45" spans="1:32">
      <c r="A45">
        <f t="shared" si="11"/>
        <v>140</v>
      </c>
      <c r="C45" t="s">
        <v>102</v>
      </c>
      <c r="G45">
        <f t="shared" si="12"/>
        <v>85</v>
      </c>
      <c r="I45" t="s">
        <v>93</v>
      </c>
      <c r="M45">
        <f t="shared" si="13"/>
        <v>30</v>
      </c>
      <c r="O45" t="s">
        <v>84</v>
      </c>
    </row>
    <row r="46" spans="1:32">
      <c r="A46">
        <f t="shared" si="11"/>
        <v>135</v>
      </c>
      <c r="C46" t="s">
        <v>101</v>
      </c>
      <c r="G46">
        <f t="shared" si="12"/>
        <v>80</v>
      </c>
      <c r="I46" t="s">
        <v>92</v>
      </c>
      <c r="M46">
        <f t="shared" si="13"/>
        <v>25</v>
      </c>
      <c r="O46" t="s">
        <v>78</v>
      </c>
    </row>
    <row r="47" spans="1:32">
      <c r="A47">
        <f t="shared" si="11"/>
        <v>130</v>
      </c>
      <c r="C47" t="s">
        <v>100</v>
      </c>
      <c r="G47">
        <f t="shared" si="12"/>
        <v>75</v>
      </c>
      <c r="I47" t="s">
        <v>76</v>
      </c>
      <c r="M47">
        <f t="shared" si="13"/>
        <v>20</v>
      </c>
      <c r="O47" t="s">
        <v>83</v>
      </c>
    </row>
    <row r="48" spans="1:32">
      <c r="A48">
        <f t="shared" si="11"/>
        <v>125</v>
      </c>
      <c r="C48" t="s">
        <v>74</v>
      </c>
      <c r="G48">
        <f t="shared" si="12"/>
        <v>70</v>
      </c>
      <c r="I48" t="s">
        <v>90</v>
      </c>
      <c r="M48">
        <f t="shared" si="13"/>
        <v>15</v>
      </c>
      <c r="O48" t="s">
        <v>82</v>
      </c>
    </row>
    <row r="49" spans="1:15">
      <c r="A49">
        <f t="shared" si="11"/>
        <v>120</v>
      </c>
      <c r="C49" t="s">
        <v>99</v>
      </c>
      <c r="G49">
        <f t="shared" si="12"/>
        <v>65</v>
      </c>
      <c r="I49" t="s">
        <v>91</v>
      </c>
      <c r="M49">
        <f t="shared" si="13"/>
        <v>10</v>
      </c>
      <c r="O49" t="s">
        <v>81</v>
      </c>
    </row>
    <row r="50" spans="1:15">
      <c r="A50">
        <f t="shared" si="11"/>
        <v>115</v>
      </c>
      <c r="C50" t="s">
        <v>97</v>
      </c>
      <c r="G50">
        <f t="shared" si="12"/>
        <v>60</v>
      </c>
      <c r="I50" t="s">
        <v>89</v>
      </c>
      <c r="M50">
        <f t="shared" si="13"/>
        <v>5</v>
      </c>
      <c r="O50" t="s">
        <v>80</v>
      </c>
    </row>
    <row r="51" spans="1:15">
      <c r="A51">
        <f t="shared" si="11"/>
        <v>110</v>
      </c>
      <c r="C51" t="s">
        <v>98</v>
      </c>
      <c r="G51">
        <f t="shared" si="12"/>
        <v>55</v>
      </c>
      <c r="I51" t="s">
        <v>88</v>
      </c>
      <c r="M51">
        <f t="shared" si="13"/>
        <v>0</v>
      </c>
      <c r="O51" t="s">
        <v>79</v>
      </c>
    </row>
    <row r="52" spans="1:15">
      <c r="A52">
        <f t="shared" si="11"/>
        <v>105</v>
      </c>
      <c r="C52" t="s">
        <v>96</v>
      </c>
      <c r="G52">
        <f t="shared" si="12"/>
        <v>50</v>
      </c>
      <c r="I52" t="s">
        <v>77</v>
      </c>
    </row>
    <row r="53" spans="1:15">
      <c r="A53">
        <f t="shared" si="11"/>
        <v>100</v>
      </c>
      <c r="C53" t="s">
        <v>75</v>
      </c>
      <c r="G53">
        <f t="shared" si="12"/>
        <v>45</v>
      </c>
      <c r="I53" t="s">
        <v>87</v>
      </c>
    </row>
  </sheetData>
  <sheetProtection sheet="1" objects="1" scenarios="1"/>
  <mergeCells count="4">
    <mergeCell ref="A1:D3"/>
    <mergeCell ref="G2:K3"/>
    <mergeCell ref="B5:N5"/>
    <mergeCell ref="O5:AF5"/>
  </mergeCells>
  <phoneticPr fontId="1"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sheetPr codeName="Sheet11"/>
  <dimension ref="A1:F138"/>
  <sheetViews>
    <sheetView workbookViewId="0">
      <selection activeCell="Y30" sqref="Y30"/>
    </sheetView>
  </sheetViews>
  <sheetFormatPr defaultRowHeight="12.75"/>
  <cols>
    <col min="1" max="1" width="17.140625" style="15" customWidth="1"/>
    <col min="2" max="2" width="15.5703125" style="15" customWidth="1"/>
    <col min="3" max="16384" width="9.140625" style="15"/>
  </cols>
  <sheetData>
    <row r="1" spans="1:6">
      <c r="A1" s="22" t="s">
        <v>2</v>
      </c>
      <c r="B1" s="22" t="s">
        <v>0</v>
      </c>
    </row>
    <row r="2" spans="1:6" s="30" customFormat="1">
      <c r="A2" s="29">
        <v>14.7</v>
      </c>
      <c r="B2" s="15">
        <f>1-0.000145*(A2+14.5)</f>
        <v>0.99576600000000004</v>
      </c>
    </row>
    <row r="6" spans="1:6">
      <c r="A6" s="22" t="s">
        <v>1</v>
      </c>
      <c r="B6" s="22" t="s">
        <v>0</v>
      </c>
      <c r="C6" s="150" t="s">
        <v>4</v>
      </c>
      <c r="D6" s="150"/>
      <c r="E6" s="150"/>
      <c r="F6" s="150"/>
    </row>
    <row r="7" spans="1:6">
      <c r="A7" s="28">
        <v>0</v>
      </c>
      <c r="B7" s="28">
        <f t="shared" ref="B7:B32" si="0">1-0.000145*(A7+14.5)</f>
        <v>0.99789749999999999</v>
      </c>
      <c r="C7" s="150"/>
      <c r="D7" s="150"/>
      <c r="E7" s="150"/>
      <c r="F7" s="150"/>
    </row>
    <row r="8" spans="1:6">
      <c r="A8" s="28">
        <f>A7+50</f>
        <v>50</v>
      </c>
      <c r="B8" s="28">
        <f t="shared" si="0"/>
        <v>0.99064750000000001</v>
      </c>
    </row>
    <row r="9" spans="1:6">
      <c r="A9" s="28">
        <f t="shared" ref="A9:A31" si="1">A8+50</f>
        <v>100</v>
      </c>
      <c r="B9" s="28">
        <f t="shared" si="0"/>
        <v>0.98339750000000004</v>
      </c>
    </row>
    <row r="10" spans="1:6">
      <c r="A10" s="28">
        <f t="shared" si="1"/>
        <v>150</v>
      </c>
      <c r="B10" s="28">
        <f t="shared" si="0"/>
        <v>0.97614749999999995</v>
      </c>
    </row>
    <row r="11" spans="1:6">
      <c r="A11" s="28">
        <f t="shared" si="1"/>
        <v>200</v>
      </c>
      <c r="B11" s="28">
        <f t="shared" si="0"/>
        <v>0.96889749999999997</v>
      </c>
    </row>
    <row r="12" spans="1:6">
      <c r="A12" s="28">
        <f t="shared" si="1"/>
        <v>250</v>
      </c>
      <c r="B12" s="28">
        <f t="shared" si="0"/>
        <v>0.96164749999999999</v>
      </c>
    </row>
    <row r="13" spans="1:6">
      <c r="A13" s="28">
        <f t="shared" si="1"/>
        <v>300</v>
      </c>
      <c r="B13" s="28">
        <f t="shared" si="0"/>
        <v>0.95439750000000001</v>
      </c>
    </row>
    <row r="14" spans="1:6">
      <c r="A14" s="28">
        <f t="shared" si="1"/>
        <v>350</v>
      </c>
      <c r="B14" s="28">
        <f t="shared" si="0"/>
        <v>0.94714750000000003</v>
      </c>
    </row>
    <row r="15" spans="1:6">
      <c r="A15" s="28">
        <f t="shared" si="1"/>
        <v>400</v>
      </c>
      <c r="B15" s="28">
        <f t="shared" si="0"/>
        <v>0.93989750000000005</v>
      </c>
    </row>
    <row r="16" spans="1:6">
      <c r="A16" s="28">
        <f t="shared" si="1"/>
        <v>450</v>
      </c>
      <c r="B16" s="28">
        <f t="shared" si="0"/>
        <v>0.93264749999999996</v>
      </c>
    </row>
    <row r="17" spans="1:2">
      <c r="A17" s="28">
        <f t="shared" si="1"/>
        <v>500</v>
      </c>
      <c r="B17" s="28">
        <f t="shared" si="0"/>
        <v>0.92539749999999998</v>
      </c>
    </row>
    <row r="18" spans="1:2">
      <c r="A18" s="28">
        <f t="shared" si="1"/>
        <v>550</v>
      </c>
      <c r="B18" s="28">
        <f t="shared" si="0"/>
        <v>0.91814750000000001</v>
      </c>
    </row>
    <row r="19" spans="1:2">
      <c r="A19" s="28">
        <f t="shared" si="1"/>
        <v>600</v>
      </c>
      <c r="B19" s="28">
        <f t="shared" si="0"/>
        <v>0.91089750000000003</v>
      </c>
    </row>
    <row r="20" spans="1:2">
      <c r="A20" s="28">
        <f t="shared" si="1"/>
        <v>650</v>
      </c>
      <c r="B20" s="28">
        <f t="shared" si="0"/>
        <v>0.90364750000000005</v>
      </c>
    </row>
    <row r="21" spans="1:2">
      <c r="A21" s="28">
        <f t="shared" si="1"/>
        <v>700</v>
      </c>
      <c r="B21" s="28">
        <f t="shared" si="0"/>
        <v>0.89639749999999996</v>
      </c>
    </row>
    <row r="22" spans="1:2">
      <c r="A22" s="28">
        <f t="shared" si="1"/>
        <v>750</v>
      </c>
      <c r="B22" s="28">
        <f t="shared" si="0"/>
        <v>0.88914749999999998</v>
      </c>
    </row>
    <row r="23" spans="1:2">
      <c r="A23" s="28">
        <f t="shared" si="1"/>
        <v>800</v>
      </c>
      <c r="B23" s="28">
        <f t="shared" si="0"/>
        <v>0.8818975</v>
      </c>
    </row>
    <row r="24" spans="1:2">
      <c r="A24" s="28">
        <f t="shared" si="1"/>
        <v>850</v>
      </c>
      <c r="B24" s="28">
        <f t="shared" si="0"/>
        <v>0.87464750000000002</v>
      </c>
    </row>
    <row r="25" spans="1:2">
      <c r="A25" s="28">
        <f t="shared" si="1"/>
        <v>900</v>
      </c>
      <c r="B25" s="28">
        <f t="shared" si="0"/>
        <v>0.86739750000000004</v>
      </c>
    </row>
    <row r="26" spans="1:2">
      <c r="A26" s="28">
        <f t="shared" si="1"/>
        <v>950</v>
      </c>
      <c r="B26" s="28">
        <f t="shared" si="0"/>
        <v>0.86014750000000006</v>
      </c>
    </row>
    <row r="27" spans="1:2">
      <c r="A27" s="28">
        <f t="shared" si="1"/>
        <v>1000</v>
      </c>
      <c r="B27" s="28">
        <f t="shared" si="0"/>
        <v>0.85289749999999998</v>
      </c>
    </row>
    <row r="28" spans="1:2">
      <c r="A28" s="28">
        <f t="shared" si="1"/>
        <v>1050</v>
      </c>
      <c r="B28" s="28">
        <f t="shared" si="0"/>
        <v>0.8456475</v>
      </c>
    </row>
    <row r="29" spans="1:2">
      <c r="A29" s="28">
        <f t="shared" si="1"/>
        <v>1100</v>
      </c>
      <c r="B29" s="28">
        <f t="shared" si="0"/>
        <v>0.83839750000000002</v>
      </c>
    </row>
    <row r="30" spans="1:2">
      <c r="A30" s="28">
        <f t="shared" si="1"/>
        <v>1150</v>
      </c>
      <c r="B30" s="28">
        <f t="shared" si="0"/>
        <v>0.83114750000000004</v>
      </c>
    </row>
    <row r="31" spans="1:2">
      <c r="A31" s="28">
        <f t="shared" si="1"/>
        <v>1200</v>
      </c>
      <c r="B31" s="28">
        <f t="shared" si="0"/>
        <v>0.82389749999999995</v>
      </c>
    </row>
    <row r="32" spans="1:2">
      <c r="A32" s="28">
        <f>A31+50</f>
        <v>1250</v>
      </c>
      <c r="B32" s="28">
        <f t="shared" si="0"/>
        <v>0.81664749999999997</v>
      </c>
    </row>
    <row r="33" spans="1:2">
      <c r="A33" s="31"/>
      <c r="B33" s="31"/>
    </row>
    <row r="34" spans="1:2">
      <c r="A34" s="31"/>
      <c r="B34" s="31"/>
    </row>
    <row r="35" spans="1:2">
      <c r="A35" s="31"/>
      <c r="B35" s="31"/>
    </row>
    <row r="36" spans="1:2">
      <c r="A36" s="31"/>
      <c r="B36" s="31"/>
    </row>
    <row r="37" spans="1:2">
      <c r="A37" s="31"/>
      <c r="B37" s="31"/>
    </row>
    <row r="38" spans="1:2">
      <c r="A38" s="31"/>
      <c r="B38" s="31"/>
    </row>
    <row r="39" spans="1:2">
      <c r="A39" s="31"/>
      <c r="B39" s="31"/>
    </row>
    <row r="40" spans="1:2">
      <c r="A40" s="31"/>
      <c r="B40" s="31"/>
    </row>
    <row r="41" spans="1:2">
      <c r="A41" s="31"/>
      <c r="B41" s="31"/>
    </row>
    <row r="42" spans="1:2">
      <c r="A42" s="31"/>
      <c r="B42" s="31"/>
    </row>
    <row r="43" spans="1:2">
      <c r="A43" s="31"/>
      <c r="B43" s="31"/>
    </row>
    <row r="44" spans="1:2">
      <c r="A44" s="31"/>
      <c r="B44" s="31"/>
    </row>
    <row r="45" spans="1:2">
      <c r="A45" s="31"/>
      <c r="B45" s="31"/>
    </row>
    <row r="46" spans="1:2">
      <c r="A46" s="31"/>
      <c r="B46" s="31"/>
    </row>
    <row r="47" spans="1:2">
      <c r="A47" s="31"/>
      <c r="B47" s="31"/>
    </row>
    <row r="48" spans="1:2">
      <c r="A48" s="31"/>
      <c r="B48" s="31"/>
    </row>
    <row r="49" spans="1:2">
      <c r="A49" s="31"/>
      <c r="B49" s="31"/>
    </row>
    <row r="50" spans="1:2">
      <c r="A50" s="31"/>
      <c r="B50" s="31"/>
    </row>
    <row r="51" spans="1:2">
      <c r="A51" s="31"/>
      <c r="B51" s="31"/>
    </row>
    <row r="52" spans="1:2">
      <c r="A52" s="31"/>
      <c r="B52" s="31"/>
    </row>
    <row r="53" spans="1:2">
      <c r="A53" s="31"/>
      <c r="B53" s="31"/>
    </row>
    <row r="54" spans="1:2">
      <c r="A54" s="31"/>
      <c r="B54" s="31"/>
    </row>
    <row r="55" spans="1:2">
      <c r="A55" s="31"/>
      <c r="B55" s="31"/>
    </row>
    <row r="56" spans="1:2">
      <c r="A56" s="31"/>
      <c r="B56" s="31"/>
    </row>
    <row r="57" spans="1:2">
      <c r="A57" s="31"/>
      <c r="B57" s="31"/>
    </row>
    <row r="58" spans="1:2">
      <c r="A58" s="31"/>
      <c r="B58" s="31"/>
    </row>
    <row r="59" spans="1:2">
      <c r="A59" s="31"/>
      <c r="B59" s="31"/>
    </row>
    <row r="60" spans="1:2">
      <c r="A60" s="31"/>
      <c r="B60" s="31"/>
    </row>
    <row r="61" spans="1:2">
      <c r="A61" s="31"/>
      <c r="B61" s="31"/>
    </row>
    <row r="62" spans="1:2">
      <c r="A62" s="31"/>
      <c r="B62" s="31"/>
    </row>
    <row r="63" spans="1:2">
      <c r="A63" s="31"/>
      <c r="B63" s="31"/>
    </row>
    <row r="64" spans="1:2">
      <c r="A64" s="31"/>
      <c r="B64" s="31"/>
    </row>
    <row r="65" spans="1:2">
      <c r="A65" s="31"/>
      <c r="B65" s="31"/>
    </row>
    <row r="66" spans="1:2">
      <c r="A66" s="31"/>
      <c r="B66" s="31"/>
    </row>
    <row r="67" spans="1:2">
      <c r="A67" s="31"/>
      <c r="B67" s="31"/>
    </row>
    <row r="68" spans="1:2">
      <c r="A68" s="31"/>
      <c r="B68" s="31"/>
    </row>
    <row r="69" spans="1:2">
      <c r="A69" s="31"/>
      <c r="B69" s="31"/>
    </row>
    <row r="70" spans="1:2">
      <c r="A70" s="31"/>
      <c r="B70" s="31"/>
    </row>
    <row r="71" spans="1:2">
      <c r="A71" s="31"/>
      <c r="B71" s="31"/>
    </row>
    <row r="72" spans="1:2">
      <c r="A72" s="31"/>
      <c r="B72" s="31"/>
    </row>
    <row r="73" spans="1:2">
      <c r="A73" s="31"/>
      <c r="B73" s="31"/>
    </row>
    <row r="74" spans="1:2">
      <c r="A74" s="31"/>
      <c r="B74" s="31"/>
    </row>
    <row r="75" spans="1:2">
      <c r="A75" s="31"/>
      <c r="B75" s="31"/>
    </row>
    <row r="76" spans="1:2">
      <c r="A76" s="31"/>
      <c r="B76" s="31"/>
    </row>
    <row r="77" spans="1:2">
      <c r="A77" s="31"/>
      <c r="B77" s="31"/>
    </row>
    <row r="78" spans="1:2">
      <c r="A78" s="31"/>
      <c r="B78" s="31"/>
    </row>
    <row r="79" spans="1:2">
      <c r="A79" s="31"/>
      <c r="B79" s="31"/>
    </row>
    <row r="80" spans="1:2">
      <c r="A80" s="31"/>
      <c r="B80" s="31"/>
    </row>
    <row r="81" spans="1:2">
      <c r="A81" s="31"/>
      <c r="B81" s="31"/>
    </row>
    <row r="82" spans="1:2">
      <c r="A82" s="31"/>
      <c r="B82" s="31"/>
    </row>
    <row r="83" spans="1:2">
      <c r="A83" s="31"/>
      <c r="B83" s="31"/>
    </row>
    <row r="84" spans="1:2">
      <c r="A84" s="31"/>
      <c r="B84" s="31"/>
    </row>
    <row r="85" spans="1:2">
      <c r="A85" s="31"/>
      <c r="B85" s="31"/>
    </row>
    <row r="86" spans="1:2">
      <c r="A86" s="31"/>
      <c r="B86" s="31"/>
    </row>
    <row r="87" spans="1:2">
      <c r="A87" s="31"/>
      <c r="B87" s="31"/>
    </row>
    <row r="88" spans="1:2">
      <c r="A88" s="31"/>
      <c r="B88" s="31"/>
    </row>
    <row r="89" spans="1:2">
      <c r="A89" s="31"/>
      <c r="B89" s="31"/>
    </row>
    <row r="90" spans="1:2">
      <c r="A90" s="31"/>
      <c r="B90" s="31"/>
    </row>
    <row r="91" spans="1:2">
      <c r="A91" s="31"/>
      <c r="B91" s="31"/>
    </row>
    <row r="92" spans="1:2">
      <c r="A92" s="31"/>
      <c r="B92" s="31"/>
    </row>
    <row r="93" spans="1:2">
      <c r="A93" s="31"/>
      <c r="B93" s="31"/>
    </row>
    <row r="94" spans="1:2">
      <c r="A94" s="31"/>
      <c r="B94" s="31"/>
    </row>
    <row r="95" spans="1:2">
      <c r="A95" s="31"/>
      <c r="B95" s="31"/>
    </row>
    <row r="96" spans="1:2">
      <c r="A96" s="31"/>
      <c r="B96" s="31"/>
    </row>
    <row r="97" spans="1:2">
      <c r="A97" s="31"/>
      <c r="B97" s="31"/>
    </row>
    <row r="98" spans="1:2">
      <c r="A98" s="31"/>
      <c r="B98" s="31"/>
    </row>
    <row r="99" spans="1:2">
      <c r="A99" s="31"/>
      <c r="B99" s="31"/>
    </row>
    <row r="100" spans="1:2">
      <c r="A100" s="31"/>
      <c r="B100" s="31"/>
    </row>
    <row r="101" spans="1:2">
      <c r="A101" s="31"/>
      <c r="B101" s="31"/>
    </row>
    <row r="102" spans="1:2">
      <c r="A102" s="31"/>
      <c r="B102" s="31"/>
    </row>
    <row r="103" spans="1:2">
      <c r="A103" s="31"/>
      <c r="B103" s="31"/>
    </row>
    <row r="104" spans="1:2">
      <c r="A104" s="31"/>
      <c r="B104" s="31"/>
    </row>
    <row r="105" spans="1:2">
      <c r="A105" s="31"/>
      <c r="B105" s="31"/>
    </row>
    <row r="106" spans="1:2">
      <c r="A106" s="31"/>
      <c r="B106" s="31"/>
    </row>
    <row r="107" spans="1:2">
      <c r="A107" s="31"/>
      <c r="B107" s="31"/>
    </row>
    <row r="108" spans="1:2">
      <c r="A108" s="31"/>
      <c r="B108" s="31"/>
    </row>
    <row r="109" spans="1:2">
      <c r="A109" s="31"/>
      <c r="B109" s="31"/>
    </row>
    <row r="110" spans="1:2">
      <c r="A110" s="31"/>
      <c r="B110" s="31"/>
    </row>
    <row r="111" spans="1:2">
      <c r="A111" s="31"/>
      <c r="B111" s="31"/>
    </row>
    <row r="112" spans="1:2">
      <c r="A112" s="31"/>
      <c r="B112" s="31"/>
    </row>
    <row r="113" spans="1:2">
      <c r="A113" s="31"/>
      <c r="B113" s="31"/>
    </row>
    <row r="114" spans="1:2">
      <c r="A114" s="31"/>
      <c r="B114" s="31"/>
    </row>
    <row r="115" spans="1:2">
      <c r="A115" s="31"/>
      <c r="B115" s="31"/>
    </row>
    <row r="116" spans="1:2">
      <c r="A116" s="31"/>
      <c r="B116" s="31"/>
    </row>
    <row r="117" spans="1:2">
      <c r="A117" s="31"/>
      <c r="B117" s="31"/>
    </row>
    <row r="118" spans="1:2">
      <c r="A118" s="31"/>
      <c r="B118" s="31"/>
    </row>
    <row r="119" spans="1:2">
      <c r="A119" s="31"/>
      <c r="B119" s="31"/>
    </row>
    <row r="120" spans="1:2">
      <c r="A120" s="31"/>
      <c r="B120" s="31"/>
    </row>
    <row r="121" spans="1:2">
      <c r="A121" s="31"/>
      <c r="B121" s="31"/>
    </row>
    <row r="122" spans="1:2">
      <c r="A122" s="31"/>
      <c r="B122" s="31"/>
    </row>
    <row r="123" spans="1:2">
      <c r="A123" s="31"/>
      <c r="B123" s="31"/>
    </row>
    <row r="124" spans="1:2">
      <c r="A124" s="31"/>
      <c r="B124" s="31"/>
    </row>
    <row r="125" spans="1:2">
      <c r="A125" s="31"/>
      <c r="B125" s="31"/>
    </row>
    <row r="126" spans="1:2">
      <c r="A126" s="31"/>
      <c r="B126" s="31"/>
    </row>
    <row r="127" spans="1:2">
      <c r="A127" s="31"/>
      <c r="B127" s="31"/>
    </row>
    <row r="128" spans="1:2">
      <c r="A128" s="31"/>
      <c r="B128" s="31"/>
    </row>
    <row r="129" spans="1:2">
      <c r="A129" s="31"/>
      <c r="B129" s="31"/>
    </row>
    <row r="130" spans="1:2">
      <c r="A130" s="31"/>
      <c r="B130" s="31"/>
    </row>
    <row r="131" spans="1:2">
      <c r="A131" s="31"/>
      <c r="B131" s="31"/>
    </row>
    <row r="132" spans="1:2">
      <c r="A132" s="31"/>
      <c r="B132" s="31"/>
    </row>
    <row r="133" spans="1:2">
      <c r="A133" s="31"/>
      <c r="B133" s="31"/>
    </row>
    <row r="134" spans="1:2">
      <c r="A134" s="31"/>
      <c r="B134" s="31"/>
    </row>
    <row r="135" spans="1:2">
      <c r="A135" s="31"/>
      <c r="B135" s="31"/>
    </row>
    <row r="136" spans="1:2">
      <c r="A136" s="31"/>
      <c r="B136" s="31"/>
    </row>
    <row r="137" spans="1:2">
      <c r="A137" s="31"/>
      <c r="B137" s="31"/>
    </row>
    <row r="138" spans="1:2">
      <c r="A138" s="31"/>
      <c r="B138" s="31"/>
    </row>
  </sheetData>
  <sheetProtection sheet="1" objects="1" scenarios="1"/>
  <mergeCells count="1">
    <mergeCell ref="C6:F7"/>
  </mergeCells>
  <phoneticPr fontId="1" type="noConversion"/>
  <pageMargins left="0.75" right="0.75" top="1" bottom="1" header="0.5" footer="0.5"/>
  <headerFooter alignWithMargins="0"/>
  <drawing r:id="rId1"/>
</worksheet>
</file>

<file path=xl/worksheets/sheet8.xml><?xml version="1.0" encoding="utf-8"?>
<worksheet xmlns="http://schemas.openxmlformats.org/spreadsheetml/2006/main" xmlns:r="http://schemas.openxmlformats.org/officeDocument/2006/relationships">
  <sheetPr codeName="Sheet5"/>
  <dimension ref="A1:AY117"/>
  <sheetViews>
    <sheetView zoomScale="86" zoomScaleNormal="86" workbookViewId="0">
      <selection activeCell="AR31" sqref="AR31"/>
    </sheetView>
  </sheetViews>
  <sheetFormatPr defaultRowHeight="12.75" outlineLevelCol="1"/>
  <cols>
    <col min="2" max="2" width="7.28515625" customWidth="1"/>
    <col min="4" max="4" width="4.7109375" hidden="1" customWidth="1" outlineLevel="1"/>
    <col min="5" max="6" width="3.7109375" hidden="1" customWidth="1" outlineLevel="1"/>
    <col min="7" max="7" width="10.7109375" hidden="1" customWidth="1" outlineLevel="1"/>
    <col min="8" max="8" width="3.7109375" hidden="1" customWidth="1" outlineLevel="1"/>
    <col min="9" max="9" width="4" hidden="1" customWidth="1" outlineLevel="1"/>
    <col min="10" max="11" width="4.42578125" hidden="1" customWidth="1" outlineLevel="1"/>
    <col min="12" max="12" width="10.28515625" hidden="1" customWidth="1" outlineLevel="1"/>
    <col min="13" max="13" width="3.7109375" hidden="1" customWidth="1" outlineLevel="1"/>
    <col min="14" max="16" width="4.42578125" hidden="1" customWidth="1" outlineLevel="1"/>
    <col min="17" max="17" width="9.140625" hidden="1" customWidth="1" outlineLevel="1"/>
    <col min="18" max="18" width="3.7109375" hidden="1" customWidth="1" outlineLevel="1"/>
    <col min="19" max="21" width="4.42578125" hidden="1" customWidth="1" outlineLevel="1"/>
    <col min="22" max="22" width="9.5703125" hidden="1" customWidth="1" outlineLevel="1"/>
    <col min="23" max="23" width="3.7109375" hidden="1" customWidth="1" outlineLevel="1"/>
    <col min="24" max="25" width="4.42578125" hidden="1" customWidth="1" outlineLevel="1"/>
    <col min="26" max="26" width="4" hidden="1" customWidth="1" outlineLevel="1"/>
    <col min="27" max="27" width="9.5703125" hidden="1" customWidth="1" outlineLevel="1"/>
    <col min="28" max="28" width="3.7109375" hidden="1" customWidth="1" outlineLevel="1"/>
    <col min="29" max="30" width="4.42578125" hidden="1" customWidth="1" outlineLevel="1"/>
    <col min="31" max="31" width="4" hidden="1" customWidth="1" outlineLevel="1"/>
    <col min="32" max="32" width="9.5703125" hidden="1" customWidth="1" outlineLevel="1"/>
    <col min="33" max="33" width="3.7109375" hidden="1" customWidth="1" outlineLevel="1"/>
    <col min="34" max="35" width="4.42578125" hidden="1" customWidth="1" outlineLevel="1"/>
    <col min="36" max="36" width="4" hidden="1" customWidth="1" outlineLevel="1"/>
    <col min="37" max="37" width="9.5703125" hidden="1" customWidth="1" outlineLevel="1"/>
    <col min="38" max="38" width="3.7109375" hidden="1" customWidth="1" outlineLevel="1"/>
    <col min="39" max="39" width="10.5703125" hidden="1" customWidth="1" outlineLevel="1"/>
    <col min="40" max="40" width="3.7109375" customWidth="1" collapsed="1"/>
    <col min="41" max="41" width="11.42578125" customWidth="1"/>
    <col min="43" max="43" width="2.85546875" style="65" customWidth="1"/>
    <col min="44" max="44" width="11.42578125" style="60" customWidth="1"/>
  </cols>
  <sheetData>
    <row r="1" spans="1:51">
      <c r="A1" s="59" t="s">
        <v>247</v>
      </c>
      <c r="AO1" s="94"/>
      <c r="AR1" s="94" t="s">
        <v>315</v>
      </c>
      <c r="AT1" s="54" t="s">
        <v>294</v>
      </c>
    </row>
    <row r="2" spans="1:51">
      <c r="A2" s="59"/>
      <c r="AT2" s="54" t="s">
        <v>295</v>
      </c>
    </row>
    <row r="3" spans="1:51">
      <c r="A3" s="54" t="s">
        <v>244</v>
      </c>
      <c r="AM3" t="s">
        <v>104</v>
      </c>
      <c r="AO3" s="61"/>
      <c r="AT3" s="54" t="s">
        <v>296</v>
      </c>
    </row>
    <row r="4" spans="1:51">
      <c r="A4" s="59"/>
      <c r="D4" s="95" t="s">
        <v>224</v>
      </c>
      <c r="E4" s="96"/>
      <c r="F4" s="62"/>
      <c r="G4" s="63" t="s">
        <v>225</v>
      </c>
      <c r="H4" s="57"/>
      <c r="I4" s="95" t="s">
        <v>194</v>
      </c>
      <c r="J4" s="96"/>
      <c r="K4" s="57"/>
      <c r="L4" s="63" t="s">
        <v>226</v>
      </c>
      <c r="M4" s="57"/>
      <c r="N4" s="95" t="s">
        <v>227</v>
      </c>
      <c r="O4" s="96"/>
      <c r="P4" s="57"/>
      <c r="Q4" s="63" t="s">
        <v>228</v>
      </c>
      <c r="R4" s="57"/>
      <c r="S4" s="95" t="s">
        <v>229</v>
      </c>
      <c r="T4" s="96"/>
      <c r="U4" s="57"/>
      <c r="V4" s="63" t="s">
        <v>230</v>
      </c>
      <c r="W4" s="57"/>
      <c r="X4" s="95" t="s">
        <v>231</v>
      </c>
      <c r="Y4" s="96"/>
      <c r="AA4" s="63" t="s">
        <v>232</v>
      </c>
      <c r="AB4" s="57"/>
      <c r="AC4" s="95" t="s">
        <v>165</v>
      </c>
      <c r="AD4" s="96"/>
      <c r="AF4" s="63" t="s">
        <v>233</v>
      </c>
      <c r="AG4" s="57"/>
      <c r="AH4" s="95" t="s">
        <v>176</v>
      </c>
      <c r="AI4" s="96"/>
      <c r="AK4" s="63" t="s">
        <v>234</v>
      </c>
      <c r="AL4" s="57"/>
      <c r="AM4" t="s">
        <v>235</v>
      </c>
      <c r="AO4" s="57" t="s">
        <v>236</v>
      </c>
      <c r="AR4" s="64" t="s">
        <v>180</v>
      </c>
      <c r="AT4" s="54" t="s">
        <v>312</v>
      </c>
      <c r="AY4" s="75"/>
    </row>
    <row r="5" spans="1:51">
      <c r="A5" t="s">
        <v>105</v>
      </c>
      <c r="C5" t="s">
        <v>134</v>
      </c>
      <c r="D5" s="65" t="s">
        <v>135</v>
      </c>
      <c r="E5">
        <v>1</v>
      </c>
      <c r="G5" s="66">
        <v>12.010999999999999</v>
      </c>
      <c r="I5" s="65" t="s">
        <v>136</v>
      </c>
      <c r="J5">
        <v>4</v>
      </c>
      <c r="L5" s="66">
        <v>1.0079400000000001</v>
      </c>
      <c r="N5" t="s">
        <v>137</v>
      </c>
      <c r="O5">
        <v>0</v>
      </c>
      <c r="Q5" s="66">
        <v>15.9994</v>
      </c>
      <c r="S5" t="s">
        <v>138</v>
      </c>
      <c r="T5">
        <v>0</v>
      </c>
      <c r="V5" s="66">
        <v>32.066000000000003</v>
      </c>
      <c r="X5" t="s">
        <v>139</v>
      </c>
      <c r="Y5">
        <v>0</v>
      </c>
      <c r="AA5" s="66">
        <v>14.006740000000001</v>
      </c>
      <c r="AC5" t="s">
        <v>140</v>
      </c>
      <c r="AD5">
        <v>0</v>
      </c>
      <c r="AF5" s="66">
        <v>4.0026020000000004</v>
      </c>
      <c r="AH5" t="s">
        <v>141</v>
      </c>
      <c r="AI5">
        <v>0</v>
      </c>
      <c r="AK5" s="66">
        <v>39.948</v>
      </c>
      <c r="AM5" s="66">
        <f>E5*G5+J5*L5+O5*Q5+T5*V5+Y5*AA5+AD5*AF5+AI5*AK5</f>
        <v>16.042760000000001</v>
      </c>
      <c r="AO5" s="45">
        <f>'Orifice Calculator'!BT5</f>
        <v>96.139200000000002</v>
      </c>
      <c r="AP5" t="s">
        <v>236</v>
      </c>
      <c r="AR5" s="66">
        <f>AM5*AO5</f>
        <v>1542.3381121920002</v>
      </c>
      <c r="AS5" t="s">
        <v>178</v>
      </c>
    </row>
    <row r="6" spans="1:51">
      <c r="A6" t="s">
        <v>106</v>
      </c>
      <c r="C6" t="s">
        <v>142</v>
      </c>
      <c r="D6" s="65" t="s">
        <v>135</v>
      </c>
      <c r="E6">
        <v>2</v>
      </c>
      <c r="G6" s="66">
        <f>G5</f>
        <v>12.010999999999999</v>
      </c>
      <c r="I6" s="65" t="s">
        <v>136</v>
      </c>
      <c r="J6">
        <v>6</v>
      </c>
      <c r="L6" s="66">
        <f>L5</f>
        <v>1.0079400000000001</v>
      </c>
      <c r="N6" t="s">
        <v>137</v>
      </c>
      <c r="O6">
        <v>0</v>
      </c>
      <c r="Q6" s="66">
        <f>Q5</f>
        <v>15.9994</v>
      </c>
      <c r="S6" t="s">
        <v>138</v>
      </c>
      <c r="T6">
        <v>0</v>
      </c>
      <c r="V6" s="66">
        <f>V5</f>
        <v>32.066000000000003</v>
      </c>
      <c r="X6" t="s">
        <v>139</v>
      </c>
      <c r="Y6">
        <v>0</v>
      </c>
      <c r="AA6" s="66">
        <f>AA5</f>
        <v>14.006740000000001</v>
      </c>
      <c r="AC6" t="s">
        <v>140</v>
      </c>
      <c r="AD6">
        <v>0</v>
      </c>
      <c r="AF6" s="66">
        <f>AF5</f>
        <v>4.0026020000000004</v>
      </c>
      <c r="AH6" t="s">
        <v>141</v>
      </c>
      <c r="AI6">
        <v>0</v>
      </c>
      <c r="AK6" s="66">
        <f>AK5</f>
        <v>39.948</v>
      </c>
      <c r="AM6" s="66">
        <f t="shared" ref="AM6:AM25" si="0">E6*G6+J6*L6+O6*Q6+T6*V6+Y6*AA6+AD6*AF6+AI6*AK6</f>
        <v>30.06964</v>
      </c>
      <c r="AO6" s="45">
        <f>'Orifice Calculator'!BT6</f>
        <v>2.0009000000000001</v>
      </c>
      <c r="AP6" t="s">
        <v>236</v>
      </c>
      <c r="AR6" s="66">
        <f t="shared" ref="AR6:AR25" si="1">AM6*AO6</f>
        <v>60.166342676000006</v>
      </c>
      <c r="AS6" t="s">
        <v>178</v>
      </c>
    </row>
    <row r="7" spans="1:51">
      <c r="A7" t="s">
        <v>107</v>
      </c>
      <c r="C7" t="s">
        <v>143</v>
      </c>
      <c r="D7" s="65" t="s">
        <v>135</v>
      </c>
      <c r="E7">
        <v>3</v>
      </c>
      <c r="G7" s="66">
        <f t="shared" ref="G7:G25" si="2">G6</f>
        <v>12.010999999999999</v>
      </c>
      <c r="I7" s="65" t="s">
        <v>136</v>
      </c>
      <c r="J7">
        <v>8</v>
      </c>
      <c r="L7" s="66">
        <f t="shared" ref="L7:L25" si="3">L6</f>
        <v>1.0079400000000001</v>
      </c>
      <c r="N7" t="s">
        <v>137</v>
      </c>
      <c r="O7">
        <v>0</v>
      </c>
      <c r="Q7" s="66">
        <f t="shared" ref="Q7:Q25" si="4">Q6</f>
        <v>15.9994</v>
      </c>
      <c r="S7" t="s">
        <v>138</v>
      </c>
      <c r="T7">
        <v>0</v>
      </c>
      <c r="V7" s="66">
        <f t="shared" ref="V7:V25" si="5">V6</f>
        <v>32.066000000000003</v>
      </c>
      <c r="X7" t="s">
        <v>139</v>
      </c>
      <c r="Y7">
        <v>0</v>
      </c>
      <c r="AA7" s="66">
        <f t="shared" ref="AA7:AA25" si="6">AA6</f>
        <v>14.006740000000001</v>
      </c>
      <c r="AC7" t="s">
        <v>140</v>
      </c>
      <c r="AD7">
        <v>0</v>
      </c>
      <c r="AF7" s="66">
        <f t="shared" ref="AF7:AF25" si="7">AF6</f>
        <v>4.0026020000000004</v>
      </c>
      <c r="AH7" t="s">
        <v>141</v>
      </c>
      <c r="AI7">
        <v>0</v>
      </c>
      <c r="AK7" s="66">
        <f t="shared" ref="AK7:AK25" si="8">AK6</f>
        <v>39.948</v>
      </c>
      <c r="AM7" s="66">
        <f t="shared" si="0"/>
        <v>44.096519999999998</v>
      </c>
      <c r="AO7" s="45">
        <f>'Orifice Calculator'!BT7</f>
        <v>0.42309999999999998</v>
      </c>
      <c r="AP7" t="s">
        <v>236</v>
      </c>
      <c r="AR7" s="66">
        <f t="shared" si="1"/>
        <v>18.657237611999999</v>
      </c>
      <c r="AS7" t="s">
        <v>178</v>
      </c>
    </row>
    <row r="8" spans="1:51">
      <c r="A8" t="s">
        <v>144</v>
      </c>
      <c r="C8" t="s">
        <v>145</v>
      </c>
      <c r="D8" s="65" t="s">
        <v>135</v>
      </c>
      <c r="E8">
        <v>4</v>
      </c>
      <c r="G8" s="66">
        <f t="shared" si="2"/>
        <v>12.010999999999999</v>
      </c>
      <c r="I8" s="65" t="s">
        <v>136</v>
      </c>
      <c r="J8">
        <v>10</v>
      </c>
      <c r="L8" s="66">
        <f t="shared" si="3"/>
        <v>1.0079400000000001</v>
      </c>
      <c r="N8" t="s">
        <v>137</v>
      </c>
      <c r="O8">
        <v>0</v>
      </c>
      <c r="Q8" s="66">
        <f t="shared" si="4"/>
        <v>15.9994</v>
      </c>
      <c r="S8" t="s">
        <v>138</v>
      </c>
      <c r="T8">
        <v>0</v>
      </c>
      <c r="V8" s="66">
        <f t="shared" si="5"/>
        <v>32.066000000000003</v>
      </c>
      <c r="X8" t="s">
        <v>139</v>
      </c>
      <c r="Y8">
        <v>0</v>
      </c>
      <c r="AA8" s="66">
        <f t="shared" si="6"/>
        <v>14.006740000000001</v>
      </c>
      <c r="AC8" t="s">
        <v>140</v>
      </c>
      <c r="AD8">
        <v>0</v>
      </c>
      <c r="AF8" s="66">
        <f t="shared" si="7"/>
        <v>4.0026020000000004</v>
      </c>
      <c r="AH8" t="s">
        <v>141</v>
      </c>
      <c r="AI8">
        <v>0</v>
      </c>
      <c r="AK8" s="66">
        <f t="shared" si="8"/>
        <v>39.948</v>
      </c>
      <c r="AM8" s="66">
        <f t="shared" si="0"/>
        <v>58.123399999999997</v>
      </c>
      <c r="AO8" s="45">
        <f>'Orifice Calculator'!BT8</f>
        <v>6.5299999999999997E-2</v>
      </c>
      <c r="AP8" t="s">
        <v>236</v>
      </c>
      <c r="AR8" s="66">
        <f t="shared" si="1"/>
        <v>3.7954580199999994</v>
      </c>
      <c r="AS8" t="s">
        <v>178</v>
      </c>
    </row>
    <row r="9" spans="1:51">
      <c r="A9" t="s">
        <v>146</v>
      </c>
      <c r="C9" t="s">
        <v>147</v>
      </c>
      <c r="D9" s="65" t="s">
        <v>135</v>
      </c>
      <c r="E9">
        <v>4</v>
      </c>
      <c r="G9" s="66">
        <f t="shared" si="2"/>
        <v>12.010999999999999</v>
      </c>
      <c r="I9" s="65" t="s">
        <v>136</v>
      </c>
      <c r="J9">
        <v>10</v>
      </c>
      <c r="L9" s="66">
        <f t="shared" si="3"/>
        <v>1.0079400000000001</v>
      </c>
      <c r="N9" t="s">
        <v>137</v>
      </c>
      <c r="O9">
        <v>0</v>
      </c>
      <c r="Q9" s="66">
        <f t="shared" si="4"/>
        <v>15.9994</v>
      </c>
      <c r="S9" t="s">
        <v>138</v>
      </c>
      <c r="T9">
        <v>0</v>
      </c>
      <c r="V9" s="66">
        <f t="shared" si="5"/>
        <v>32.066000000000003</v>
      </c>
      <c r="X9" t="s">
        <v>139</v>
      </c>
      <c r="Y9">
        <v>0</v>
      </c>
      <c r="AA9" s="66">
        <f t="shared" si="6"/>
        <v>14.006740000000001</v>
      </c>
      <c r="AC9" t="s">
        <v>140</v>
      </c>
      <c r="AD9">
        <v>0</v>
      </c>
      <c r="AF9" s="66">
        <f t="shared" si="7"/>
        <v>4.0026020000000004</v>
      </c>
      <c r="AH9" t="s">
        <v>141</v>
      </c>
      <c r="AI9">
        <v>0</v>
      </c>
      <c r="AK9" s="66">
        <f t="shared" si="8"/>
        <v>39.948</v>
      </c>
      <c r="AM9" s="66">
        <f t="shared" si="0"/>
        <v>58.123399999999997</v>
      </c>
      <c r="AO9" s="45">
        <f>'Orifice Calculator'!BT9</f>
        <v>7.1199999999999999E-2</v>
      </c>
      <c r="AP9" t="s">
        <v>236</v>
      </c>
      <c r="AR9" s="66">
        <f t="shared" si="1"/>
        <v>4.1383860800000001</v>
      </c>
      <c r="AS9" t="s">
        <v>178</v>
      </c>
    </row>
    <row r="10" spans="1:51">
      <c r="A10" t="s">
        <v>148</v>
      </c>
      <c r="C10" t="s">
        <v>149</v>
      </c>
      <c r="D10" s="65" t="s">
        <v>135</v>
      </c>
      <c r="E10">
        <v>5</v>
      </c>
      <c r="G10" s="66">
        <f t="shared" si="2"/>
        <v>12.010999999999999</v>
      </c>
      <c r="I10" s="65" t="s">
        <v>136</v>
      </c>
      <c r="J10">
        <v>12</v>
      </c>
      <c r="L10" s="66">
        <f t="shared" si="3"/>
        <v>1.0079400000000001</v>
      </c>
      <c r="N10" t="s">
        <v>137</v>
      </c>
      <c r="O10">
        <v>0</v>
      </c>
      <c r="Q10" s="66">
        <f t="shared" si="4"/>
        <v>15.9994</v>
      </c>
      <c r="S10" t="s">
        <v>138</v>
      </c>
      <c r="T10">
        <v>0</v>
      </c>
      <c r="V10" s="66">
        <f t="shared" si="5"/>
        <v>32.066000000000003</v>
      </c>
      <c r="X10" t="s">
        <v>139</v>
      </c>
      <c r="Y10">
        <v>0</v>
      </c>
      <c r="AA10" s="66">
        <f t="shared" si="6"/>
        <v>14.006740000000001</v>
      </c>
      <c r="AC10" t="s">
        <v>140</v>
      </c>
      <c r="AD10">
        <v>0</v>
      </c>
      <c r="AF10" s="66">
        <f t="shared" si="7"/>
        <v>4.0026020000000004</v>
      </c>
      <c r="AH10" t="s">
        <v>141</v>
      </c>
      <c r="AI10">
        <v>0</v>
      </c>
      <c r="AK10" s="66">
        <f t="shared" si="8"/>
        <v>39.948</v>
      </c>
      <c r="AM10" s="66">
        <f t="shared" si="0"/>
        <v>72.150279999999995</v>
      </c>
      <c r="AO10" s="45">
        <f>'Orifice Calculator'!BT10</f>
        <v>1.9199999999999998E-2</v>
      </c>
      <c r="AP10" t="s">
        <v>236</v>
      </c>
      <c r="AR10" s="66">
        <f t="shared" si="1"/>
        <v>1.3852853759999997</v>
      </c>
      <c r="AS10" t="s">
        <v>178</v>
      </c>
    </row>
    <row r="11" spans="1:51">
      <c r="A11" t="s">
        <v>150</v>
      </c>
      <c r="C11" t="s">
        <v>151</v>
      </c>
      <c r="D11" s="65" t="s">
        <v>135</v>
      </c>
      <c r="E11">
        <v>5</v>
      </c>
      <c r="G11" s="66">
        <f t="shared" si="2"/>
        <v>12.010999999999999</v>
      </c>
      <c r="I11" s="65" t="s">
        <v>136</v>
      </c>
      <c r="J11">
        <v>12</v>
      </c>
      <c r="L11" s="66">
        <f t="shared" si="3"/>
        <v>1.0079400000000001</v>
      </c>
      <c r="N11" t="s">
        <v>137</v>
      </c>
      <c r="O11">
        <v>0</v>
      </c>
      <c r="Q11" s="66">
        <f t="shared" si="4"/>
        <v>15.9994</v>
      </c>
      <c r="S11" t="s">
        <v>138</v>
      </c>
      <c r="T11">
        <v>0</v>
      </c>
      <c r="V11" s="66">
        <f t="shared" si="5"/>
        <v>32.066000000000003</v>
      </c>
      <c r="X11" t="s">
        <v>139</v>
      </c>
      <c r="Y11">
        <v>0</v>
      </c>
      <c r="AA11" s="66">
        <f t="shared" si="6"/>
        <v>14.006740000000001</v>
      </c>
      <c r="AC11" t="s">
        <v>140</v>
      </c>
      <c r="AD11">
        <v>0</v>
      </c>
      <c r="AF11" s="66">
        <f t="shared" si="7"/>
        <v>4.0026020000000004</v>
      </c>
      <c r="AH11" t="s">
        <v>141</v>
      </c>
      <c r="AI11">
        <v>0</v>
      </c>
      <c r="AK11" s="66">
        <f t="shared" si="8"/>
        <v>39.948</v>
      </c>
      <c r="AM11" s="66">
        <f t="shared" si="0"/>
        <v>72.150279999999995</v>
      </c>
      <c r="AO11" s="45">
        <f>'Orifice Calculator'!BT11</f>
        <v>1.4200000000000001E-2</v>
      </c>
      <c r="AP11" t="s">
        <v>236</v>
      </c>
      <c r="AR11" s="66">
        <f t="shared" si="1"/>
        <v>1.0245339760000001</v>
      </c>
      <c r="AS11" t="s">
        <v>178</v>
      </c>
    </row>
    <row r="12" spans="1:51">
      <c r="A12" t="s">
        <v>152</v>
      </c>
      <c r="C12" t="s">
        <v>153</v>
      </c>
      <c r="D12" s="65" t="s">
        <v>135</v>
      </c>
      <c r="E12">
        <v>6</v>
      </c>
      <c r="G12" s="66">
        <f t="shared" si="2"/>
        <v>12.010999999999999</v>
      </c>
      <c r="I12" s="65" t="s">
        <v>136</v>
      </c>
      <c r="J12">
        <v>14</v>
      </c>
      <c r="L12" s="66">
        <f t="shared" si="3"/>
        <v>1.0079400000000001</v>
      </c>
      <c r="N12" t="s">
        <v>137</v>
      </c>
      <c r="O12">
        <v>0</v>
      </c>
      <c r="Q12" s="66">
        <f t="shared" si="4"/>
        <v>15.9994</v>
      </c>
      <c r="S12" t="s">
        <v>138</v>
      </c>
      <c r="T12">
        <v>0</v>
      </c>
      <c r="V12" s="66">
        <f t="shared" si="5"/>
        <v>32.066000000000003</v>
      </c>
      <c r="X12" t="s">
        <v>139</v>
      </c>
      <c r="Y12">
        <v>0</v>
      </c>
      <c r="AA12" s="66">
        <f t="shared" si="6"/>
        <v>14.006740000000001</v>
      </c>
      <c r="AC12" t="s">
        <v>140</v>
      </c>
      <c r="AD12">
        <v>0</v>
      </c>
      <c r="AF12" s="66">
        <f t="shared" si="7"/>
        <v>4.0026020000000004</v>
      </c>
      <c r="AH12" t="s">
        <v>141</v>
      </c>
      <c r="AI12">
        <v>0</v>
      </c>
      <c r="AK12" s="66">
        <f t="shared" si="8"/>
        <v>39.948</v>
      </c>
      <c r="AM12" s="66">
        <f t="shared" si="0"/>
        <v>86.177160000000001</v>
      </c>
      <c r="AO12" s="45">
        <f>'Orifice Calculator'!BT12</f>
        <v>1.9400000000000001E-2</v>
      </c>
      <c r="AP12" t="s">
        <v>236</v>
      </c>
      <c r="AR12" s="66">
        <f t="shared" si="1"/>
        <v>1.6718369040000001</v>
      </c>
      <c r="AS12" t="s">
        <v>178</v>
      </c>
    </row>
    <row r="13" spans="1:51">
      <c r="A13" t="s">
        <v>154</v>
      </c>
      <c r="C13" t="s">
        <v>155</v>
      </c>
      <c r="D13" s="65" t="s">
        <v>135</v>
      </c>
      <c r="E13">
        <v>7</v>
      </c>
      <c r="G13" s="66">
        <f t="shared" si="2"/>
        <v>12.010999999999999</v>
      </c>
      <c r="I13" s="65" t="s">
        <v>136</v>
      </c>
      <c r="J13">
        <v>16</v>
      </c>
      <c r="L13" s="66">
        <f t="shared" si="3"/>
        <v>1.0079400000000001</v>
      </c>
      <c r="N13" t="s">
        <v>137</v>
      </c>
      <c r="O13">
        <v>0</v>
      </c>
      <c r="Q13" s="66">
        <f t="shared" si="4"/>
        <v>15.9994</v>
      </c>
      <c r="S13" t="s">
        <v>138</v>
      </c>
      <c r="T13">
        <v>0</v>
      </c>
      <c r="V13" s="66">
        <f t="shared" si="5"/>
        <v>32.066000000000003</v>
      </c>
      <c r="X13" t="s">
        <v>139</v>
      </c>
      <c r="Y13">
        <v>0</v>
      </c>
      <c r="AA13" s="66">
        <f t="shared" si="6"/>
        <v>14.006740000000001</v>
      </c>
      <c r="AC13" t="s">
        <v>140</v>
      </c>
      <c r="AD13">
        <v>0</v>
      </c>
      <c r="AF13" s="66">
        <f t="shared" si="7"/>
        <v>4.0026020000000004</v>
      </c>
      <c r="AH13" t="s">
        <v>141</v>
      </c>
      <c r="AI13">
        <v>0</v>
      </c>
      <c r="AK13" s="66">
        <f t="shared" si="8"/>
        <v>39.948</v>
      </c>
      <c r="AM13" s="66">
        <f t="shared" si="0"/>
        <v>100.20403999999999</v>
      </c>
      <c r="AO13" s="45">
        <f>'Orifice Calculator'!BT13</f>
        <v>0</v>
      </c>
      <c r="AP13" t="s">
        <v>236</v>
      </c>
      <c r="AR13" s="66">
        <f t="shared" si="1"/>
        <v>0</v>
      </c>
      <c r="AS13" t="s">
        <v>178</v>
      </c>
    </row>
    <row r="14" spans="1:51">
      <c r="A14" t="s">
        <v>156</v>
      </c>
      <c r="C14" t="s">
        <v>157</v>
      </c>
      <c r="D14" s="65" t="s">
        <v>135</v>
      </c>
      <c r="E14">
        <v>8</v>
      </c>
      <c r="G14" s="66">
        <f t="shared" si="2"/>
        <v>12.010999999999999</v>
      </c>
      <c r="I14" s="65" t="s">
        <v>136</v>
      </c>
      <c r="J14">
        <v>18</v>
      </c>
      <c r="L14" s="66">
        <f t="shared" si="3"/>
        <v>1.0079400000000001</v>
      </c>
      <c r="N14" t="s">
        <v>137</v>
      </c>
      <c r="O14">
        <v>0</v>
      </c>
      <c r="Q14" s="66">
        <f t="shared" si="4"/>
        <v>15.9994</v>
      </c>
      <c r="S14" t="s">
        <v>138</v>
      </c>
      <c r="T14">
        <v>0</v>
      </c>
      <c r="V14" s="66">
        <f t="shared" si="5"/>
        <v>32.066000000000003</v>
      </c>
      <c r="X14" t="s">
        <v>139</v>
      </c>
      <c r="Y14">
        <v>0</v>
      </c>
      <c r="AA14" s="66">
        <f t="shared" si="6"/>
        <v>14.006740000000001</v>
      </c>
      <c r="AC14" t="s">
        <v>140</v>
      </c>
      <c r="AD14">
        <v>0</v>
      </c>
      <c r="AF14" s="66">
        <f t="shared" si="7"/>
        <v>4.0026020000000004</v>
      </c>
      <c r="AH14" t="s">
        <v>141</v>
      </c>
      <c r="AI14">
        <v>0</v>
      </c>
      <c r="AK14" s="66">
        <f t="shared" si="8"/>
        <v>39.948</v>
      </c>
      <c r="AM14" s="66">
        <f t="shared" si="0"/>
        <v>114.23092</v>
      </c>
      <c r="AO14" s="45">
        <f>'Orifice Calculator'!BT14</f>
        <v>0</v>
      </c>
      <c r="AP14" t="s">
        <v>236</v>
      </c>
      <c r="AR14" s="66">
        <f t="shared" si="1"/>
        <v>0</v>
      </c>
      <c r="AS14" t="s">
        <v>178</v>
      </c>
    </row>
    <row r="15" spans="1:51">
      <c r="A15" t="s">
        <v>158</v>
      </c>
      <c r="C15" t="s">
        <v>159</v>
      </c>
      <c r="D15" s="65" t="s">
        <v>135</v>
      </c>
      <c r="E15">
        <v>9</v>
      </c>
      <c r="G15" s="66">
        <f t="shared" si="2"/>
        <v>12.010999999999999</v>
      </c>
      <c r="I15" s="65" t="s">
        <v>136</v>
      </c>
      <c r="J15">
        <v>20</v>
      </c>
      <c r="L15" s="66">
        <f t="shared" si="3"/>
        <v>1.0079400000000001</v>
      </c>
      <c r="N15" t="s">
        <v>137</v>
      </c>
      <c r="O15">
        <v>0</v>
      </c>
      <c r="Q15" s="66">
        <f t="shared" si="4"/>
        <v>15.9994</v>
      </c>
      <c r="S15" t="s">
        <v>138</v>
      </c>
      <c r="T15">
        <v>0</v>
      </c>
      <c r="V15" s="66">
        <f t="shared" si="5"/>
        <v>32.066000000000003</v>
      </c>
      <c r="X15" t="s">
        <v>139</v>
      </c>
      <c r="Y15">
        <v>0</v>
      </c>
      <c r="AA15" s="66">
        <f t="shared" si="6"/>
        <v>14.006740000000001</v>
      </c>
      <c r="AC15" t="s">
        <v>140</v>
      </c>
      <c r="AD15">
        <v>0</v>
      </c>
      <c r="AF15" s="66">
        <f t="shared" si="7"/>
        <v>4.0026020000000004</v>
      </c>
      <c r="AH15" t="s">
        <v>141</v>
      </c>
      <c r="AI15">
        <v>0</v>
      </c>
      <c r="AK15" s="66">
        <f t="shared" si="8"/>
        <v>39.948</v>
      </c>
      <c r="AM15" s="66">
        <f t="shared" si="0"/>
        <v>128.25779999999997</v>
      </c>
      <c r="AO15" s="45">
        <f>'Orifice Calculator'!BT15</f>
        <v>0</v>
      </c>
      <c r="AP15" t="s">
        <v>236</v>
      </c>
      <c r="AR15" s="66">
        <f t="shared" si="1"/>
        <v>0</v>
      </c>
      <c r="AS15" t="s">
        <v>178</v>
      </c>
    </row>
    <row r="16" spans="1:51">
      <c r="A16" t="s">
        <v>160</v>
      </c>
      <c r="C16" t="s">
        <v>161</v>
      </c>
      <c r="D16" s="65" t="s">
        <v>135</v>
      </c>
      <c r="E16">
        <v>10</v>
      </c>
      <c r="G16" s="66">
        <f t="shared" si="2"/>
        <v>12.010999999999999</v>
      </c>
      <c r="I16" s="65" t="s">
        <v>136</v>
      </c>
      <c r="J16">
        <v>22</v>
      </c>
      <c r="L16" s="66">
        <f t="shared" si="3"/>
        <v>1.0079400000000001</v>
      </c>
      <c r="N16" t="s">
        <v>137</v>
      </c>
      <c r="O16">
        <v>0</v>
      </c>
      <c r="Q16" s="66">
        <f t="shared" si="4"/>
        <v>15.9994</v>
      </c>
      <c r="S16" t="s">
        <v>138</v>
      </c>
      <c r="T16">
        <v>0</v>
      </c>
      <c r="V16" s="66">
        <f t="shared" si="5"/>
        <v>32.066000000000003</v>
      </c>
      <c r="X16" t="s">
        <v>139</v>
      </c>
      <c r="Y16">
        <v>0</v>
      </c>
      <c r="AA16" s="66">
        <f t="shared" si="6"/>
        <v>14.006740000000001</v>
      </c>
      <c r="AC16" t="s">
        <v>140</v>
      </c>
      <c r="AD16">
        <v>0</v>
      </c>
      <c r="AF16" s="66">
        <f t="shared" si="7"/>
        <v>4.0026020000000004</v>
      </c>
      <c r="AH16" t="s">
        <v>141</v>
      </c>
      <c r="AI16">
        <v>0</v>
      </c>
      <c r="AK16" s="66">
        <f t="shared" si="8"/>
        <v>39.948</v>
      </c>
      <c r="AM16" s="66">
        <f t="shared" si="0"/>
        <v>142.28467999999998</v>
      </c>
      <c r="AO16" s="45">
        <f>'Orifice Calculator'!BT16</f>
        <v>0</v>
      </c>
      <c r="AP16" t="s">
        <v>236</v>
      </c>
      <c r="AR16" s="66">
        <f t="shared" si="1"/>
        <v>0</v>
      </c>
      <c r="AS16" t="s">
        <v>178</v>
      </c>
    </row>
    <row r="17" spans="1:45">
      <c r="A17" t="s">
        <v>162</v>
      </c>
      <c r="C17" t="s">
        <v>163</v>
      </c>
      <c r="D17" s="65" t="s">
        <v>135</v>
      </c>
      <c r="E17">
        <v>0</v>
      </c>
      <c r="G17" s="66">
        <f t="shared" si="2"/>
        <v>12.010999999999999</v>
      </c>
      <c r="I17" s="65" t="s">
        <v>136</v>
      </c>
      <c r="J17">
        <v>2</v>
      </c>
      <c r="L17" s="66">
        <f t="shared" si="3"/>
        <v>1.0079400000000001</v>
      </c>
      <c r="N17" t="s">
        <v>137</v>
      </c>
      <c r="O17">
        <v>0</v>
      </c>
      <c r="Q17" s="66">
        <f t="shared" si="4"/>
        <v>15.9994</v>
      </c>
      <c r="S17" t="s">
        <v>138</v>
      </c>
      <c r="T17">
        <v>0</v>
      </c>
      <c r="V17" s="66">
        <f t="shared" si="5"/>
        <v>32.066000000000003</v>
      </c>
      <c r="X17" t="s">
        <v>139</v>
      </c>
      <c r="Y17">
        <v>0</v>
      </c>
      <c r="AA17" s="66">
        <f t="shared" si="6"/>
        <v>14.006740000000001</v>
      </c>
      <c r="AC17" t="s">
        <v>140</v>
      </c>
      <c r="AD17">
        <v>0</v>
      </c>
      <c r="AF17" s="66">
        <f t="shared" si="7"/>
        <v>4.0026020000000004</v>
      </c>
      <c r="AH17" t="s">
        <v>141</v>
      </c>
      <c r="AI17">
        <v>0</v>
      </c>
      <c r="AK17" s="66">
        <f t="shared" si="8"/>
        <v>39.948</v>
      </c>
      <c r="AM17" s="66">
        <f t="shared" si="0"/>
        <v>2.0158800000000001</v>
      </c>
      <c r="AO17" s="45">
        <f>'Orifice Calculator'!BT17</f>
        <v>0</v>
      </c>
      <c r="AP17" t="s">
        <v>236</v>
      </c>
      <c r="AR17" s="66">
        <f t="shared" si="1"/>
        <v>0</v>
      </c>
      <c r="AS17" t="s">
        <v>178</v>
      </c>
    </row>
    <row r="18" spans="1:45">
      <c r="A18" t="s">
        <v>164</v>
      </c>
      <c r="C18" t="s">
        <v>165</v>
      </c>
      <c r="D18" s="65" t="s">
        <v>135</v>
      </c>
      <c r="E18">
        <v>0</v>
      </c>
      <c r="G18" s="66">
        <f t="shared" si="2"/>
        <v>12.010999999999999</v>
      </c>
      <c r="I18" s="65" t="s">
        <v>136</v>
      </c>
      <c r="J18">
        <v>0</v>
      </c>
      <c r="L18" s="66">
        <f t="shared" si="3"/>
        <v>1.0079400000000001</v>
      </c>
      <c r="N18" t="s">
        <v>137</v>
      </c>
      <c r="O18">
        <v>0</v>
      </c>
      <c r="Q18" s="66">
        <f t="shared" si="4"/>
        <v>15.9994</v>
      </c>
      <c r="S18" t="s">
        <v>138</v>
      </c>
      <c r="T18">
        <v>0</v>
      </c>
      <c r="V18" s="66">
        <f t="shared" si="5"/>
        <v>32.066000000000003</v>
      </c>
      <c r="X18" t="s">
        <v>139</v>
      </c>
      <c r="Y18">
        <v>0</v>
      </c>
      <c r="AA18" s="66">
        <f t="shared" si="6"/>
        <v>14.006740000000001</v>
      </c>
      <c r="AC18" t="s">
        <v>140</v>
      </c>
      <c r="AD18">
        <v>1</v>
      </c>
      <c r="AF18" s="66">
        <f t="shared" si="7"/>
        <v>4.0026020000000004</v>
      </c>
      <c r="AH18" t="s">
        <v>141</v>
      </c>
      <c r="AI18">
        <v>0</v>
      </c>
      <c r="AK18" s="66">
        <f t="shared" si="8"/>
        <v>39.948</v>
      </c>
      <c r="AM18" s="66">
        <f t="shared" si="0"/>
        <v>4.0026020000000004</v>
      </c>
      <c r="AO18" s="45">
        <f>'Orifice Calculator'!BT18</f>
        <v>0</v>
      </c>
      <c r="AP18" t="s">
        <v>236</v>
      </c>
      <c r="AR18" s="66">
        <f t="shared" si="1"/>
        <v>0</v>
      </c>
      <c r="AS18" t="s">
        <v>178</v>
      </c>
    </row>
    <row r="19" spans="1:45">
      <c r="A19" t="s">
        <v>166</v>
      </c>
      <c r="C19" t="s">
        <v>167</v>
      </c>
      <c r="D19" s="65" t="s">
        <v>135</v>
      </c>
      <c r="E19">
        <v>0</v>
      </c>
      <c r="G19" s="66">
        <f t="shared" si="2"/>
        <v>12.010999999999999</v>
      </c>
      <c r="I19" s="65" t="s">
        <v>136</v>
      </c>
      <c r="J19">
        <v>2</v>
      </c>
      <c r="L19" s="66">
        <f t="shared" si="3"/>
        <v>1.0079400000000001</v>
      </c>
      <c r="N19" t="s">
        <v>137</v>
      </c>
      <c r="O19">
        <v>1</v>
      </c>
      <c r="Q19" s="66">
        <f t="shared" si="4"/>
        <v>15.9994</v>
      </c>
      <c r="S19" t="s">
        <v>138</v>
      </c>
      <c r="T19">
        <v>0</v>
      </c>
      <c r="V19" s="66">
        <f t="shared" si="5"/>
        <v>32.066000000000003</v>
      </c>
      <c r="X19" t="s">
        <v>139</v>
      </c>
      <c r="Y19">
        <v>0</v>
      </c>
      <c r="AA19" s="66">
        <f t="shared" si="6"/>
        <v>14.006740000000001</v>
      </c>
      <c r="AC19" t="s">
        <v>140</v>
      </c>
      <c r="AD19">
        <v>0</v>
      </c>
      <c r="AF19" s="66">
        <f t="shared" si="7"/>
        <v>4.0026020000000004</v>
      </c>
      <c r="AH19" t="s">
        <v>141</v>
      </c>
      <c r="AI19">
        <v>0</v>
      </c>
      <c r="AK19" s="66">
        <f t="shared" si="8"/>
        <v>39.948</v>
      </c>
      <c r="AM19" s="66">
        <f t="shared" si="0"/>
        <v>18.015280000000001</v>
      </c>
      <c r="AO19" s="45">
        <f>'Orifice Calculator'!BT19</f>
        <v>0</v>
      </c>
      <c r="AP19" t="s">
        <v>236</v>
      </c>
      <c r="AR19" s="66">
        <f t="shared" si="1"/>
        <v>0</v>
      </c>
      <c r="AS19" t="s">
        <v>178</v>
      </c>
    </row>
    <row r="20" spans="1:45">
      <c r="A20" t="s">
        <v>168</v>
      </c>
      <c r="C20" t="s">
        <v>169</v>
      </c>
      <c r="D20" s="65" t="s">
        <v>135</v>
      </c>
      <c r="E20">
        <v>1</v>
      </c>
      <c r="G20" s="66">
        <f t="shared" si="2"/>
        <v>12.010999999999999</v>
      </c>
      <c r="I20" s="65" t="s">
        <v>136</v>
      </c>
      <c r="J20">
        <v>0</v>
      </c>
      <c r="L20" s="66">
        <f t="shared" si="3"/>
        <v>1.0079400000000001</v>
      </c>
      <c r="N20" t="s">
        <v>137</v>
      </c>
      <c r="O20">
        <v>1</v>
      </c>
      <c r="Q20" s="66">
        <f t="shared" si="4"/>
        <v>15.9994</v>
      </c>
      <c r="S20" t="s">
        <v>138</v>
      </c>
      <c r="T20">
        <v>0</v>
      </c>
      <c r="V20" s="66">
        <f t="shared" si="5"/>
        <v>32.066000000000003</v>
      </c>
      <c r="X20" t="s">
        <v>139</v>
      </c>
      <c r="Y20">
        <v>0</v>
      </c>
      <c r="AA20" s="66">
        <f t="shared" si="6"/>
        <v>14.006740000000001</v>
      </c>
      <c r="AC20" t="s">
        <v>140</v>
      </c>
      <c r="AD20">
        <v>0</v>
      </c>
      <c r="AF20" s="66">
        <f t="shared" si="7"/>
        <v>4.0026020000000004</v>
      </c>
      <c r="AH20" t="s">
        <v>141</v>
      </c>
      <c r="AI20">
        <v>0</v>
      </c>
      <c r="AK20" s="66">
        <f t="shared" si="8"/>
        <v>39.948</v>
      </c>
      <c r="AM20" s="66">
        <f t="shared" si="0"/>
        <v>28.010399999999997</v>
      </c>
      <c r="AO20" s="45">
        <f>'Orifice Calculator'!BT20</f>
        <v>0</v>
      </c>
      <c r="AP20" t="s">
        <v>236</v>
      </c>
      <c r="AR20" s="66">
        <f t="shared" si="1"/>
        <v>0</v>
      </c>
      <c r="AS20" t="s">
        <v>178</v>
      </c>
    </row>
    <row r="21" spans="1:45">
      <c r="A21" t="s">
        <v>170</v>
      </c>
      <c r="C21" t="s">
        <v>108</v>
      </c>
      <c r="D21" s="65" t="s">
        <v>135</v>
      </c>
      <c r="E21">
        <v>0</v>
      </c>
      <c r="G21" s="66">
        <f t="shared" si="2"/>
        <v>12.010999999999999</v>
      </c>
      <c r="I21" s="65" t="s">
        <v>136</v>
      </c>
      <c r="J21">
        <v>0</v>
      </c>
      <c r="L21" s="66">
        <f t="shared" si="3"/>
        <v>1.0079400000000001</v>
      </c>
      <c r="N21" t="s">
        <v>137</v>
      </c>
      <c r="O21">
        <v>0</v>
      </c>
      <c r="Q21" s="66">
        <f t="shared" si="4"/>
        <v>15.9994</v>
      </c>
      <c r="S21" t="s">
        <v>138</v>
      </c>
      <c r="T21">
        <v>0</v>
      </c>
      <c r="V21" s="66">
        <f t="shared" si="5"/>
        <v>32.066000000000003</v>
      </c>
      <c r="X21" t="s">
        <v>139</v>
      </c>
      <c r="Y21">
        <v>2</v>
      </c>
      <c r="AA21" s="66">
        <f t="shared" si="6"/>
        <v>14.006740000000001</v>
      </c>
      <c r="AC21" t="s">
        <v>140</v>
      </c>
      <c r="AD21">
        <v>0</v>
      </c>
      <c r="AF21" s="66">
        <f t="shared" si="7"/>
        <v>4.0026020000000004</v>
      </c>
      <c r="AH21" t="s">
        <v>141</v>
      </c>
      <c r="AI21">
        <v>0</v>
      </c>
      <c r="AK21" s="66">
        <f t="shared" si="8"/>
        <v>39.948</v>
      </c>
      <c r="AM21" s="66">
        <f t="shared" si="0"/>
        <v>28.013480000000001</v>
      </c>
      <c r="AO21" s="45">
        <f>'Orifice Calculator'!BT21</f>
        <v>0.5222</v>
      </c>
      <c r="AP21" t="s">
        <v>236</v>
      </c>
      <c r="AR21" s="66">
        <f t="shared" si="1"/>
        <v>14.628639256000001</v>
      </c>
      <c r="AS21" t="s">
        <v>178</v>
      </c>
    </row>
    <row r="22" spans="1:45">
      <c r="A22" t="s">
        <v>171</v>
      </c>
      <c r="C22" t="s">
        <v>172</v>
      </c>
      <c r="D22" s="65" t="s">
        <v>135</v>
      </c>
      <c r="E22">
        <v>0</v>
      </c>
      <c r="G22" s="66">
        <f t="shared" si="2"/>
        <v>12.010999999999999</v>
      </c>
      <c r="I22" s="65" t="s">
        <v>136</v>
      </c>
      <c r="J22">
        <v>0</v>
      </c>
      <c r="L22" s="66">
        <f t="shared" si="3"/>
        <v>1.0079400000000001</v>
      </c>
      <c r="N22" t="s">
        <v>137</v>
      </c>
      <c r="O22">
        <v>2</v>
      </c>
      <c r="Q22" s="66">
        <f t="shared" si="4"/>
        <v>15.9994</v>
      </c>
      <c r="S22" t="s">
        <v>138</v>
      </c>
      <c r="T22">
        <v>0</v>
      </c>
      <c r="V22" s="66">
        <f t="shared" si="5"/>
        <v>32.066000000000003</v>
      </c>
      <c r="X22" t="s">
        <v>139</v>
      </c>
      <c r="Y22">
        <v>0</v>
      </c>
      <c r="AA22" s="66">
        <f t="shared" si="6"/>
        <v>14.006740000000001</v>
      </c>
      <c r="AC22" t="s">
        <v>140</v>
      </c>
      <c r="AD22">
        <v>0</v>
      </c>
      <c r="AF22" s="66">
        <f t="shared" si="7"/>
        <v>4.0026020000000004</v>
      </c>
      <c r="AH22" t="s">
        <v>141</v>
      </c>
      <c r="AI22">
        <v>0</v>
      </c>
      <c r="AK22" s="66">
        <f t="shared" si="8"/>
        <v>39.948</v>
      </c>
      <c r="AM22" s="66">
        <f t="shared" si="0"/>
        <v>31.998799999999999</v>
      </c>
      <c r="AO22" s="45">
        <f>'Orifice Calculator'!BT22</f>
        <v>0</v>
      </c>
      <c r="AP22" t="s">
        <v>236</v>
      </c>
      <c r="AR22" s="66">
        <f t="shared" si="1"/>
        <v>0</v>
      </c>
      <c r="AS22" t="s">
        <v>178</v>
      </c>
    </row>
    <row r="23" spans="1:45">
      <c r="A23" t="s">
        <v>173</v>
      </c>
      <c r="C23" t="s">
        <v>174</v>
      </c>
      <c r="D23" s="65" t="s">
        <v>135</v>
      </c>
      <c r="E23">
        <v>0</v>
      </c>
      <c r="G23" s="66">
        <f t="shared" si="2"/>
        <v>12.010999999999999</v>
      </c>
      <c r="I23" s="65" t="s">
        <v>136</v>
      </c>
      <c r="J23">
        <v>2</v>
      </c>
      <c r="L23" s="66">
        <f t="shared" si="3"/>
        <v>1.0079400000000001</v>
      </c>
      <c r="N23" t="s">
        <v>137</v>
      </c>
      <c r="O23">
        <v>0</v>
      </c>
      <c r="Q23" s="66">
        <f t="shared" si="4"/>
        <v>15.9994</v>
      </c>
      <c r="S23" t="s">
        <v>138</v>
      </c>
      <c r="T23">
        <v>1</v>
      </c>
      <c r="V23" s="66">
        <f t="shared" si="5"/>
        <v>32.066000000000003</v>
      </c>
      <c r="X23" t="s">
        <v>139</v>
      </c>
      <c r="Y23">
        <v>0</v>
      </c>
      <c r="AA23" s="66">
        <f t="shared" si="6"/>
        <v>14.006740000000001</v>
      </c>
      <c r="AC23" t="s">
        <v>140</v>
      </c>
      <c r="AD23">
        <v>0</v>
      </c>
      <c r="AF23" s="66">
        <f t="shared" si="7"/>
        <v>4.0026020000000004</v>
      </c>
      <c r="AH23" t="s">
        <v>141</v>
      </c>
      <c r="AI23">
        <v>0</v>
      </c>
      <c r="AK23" s="66">
        <f t="shared" si="8"/>
        <v>39.948</v>
      </c>
      <c r="AM23" s="66">
        <f t="shared" si="0"/>
        <v>34.081880000000005</v>
      </c>
      <c r="AO23" s="45">
        <f>'Orifice Calculator'!BT23</f>
        <v>0</v>
      </c>
      <c r="AP23" t="s">
        <v>236</v>
      </c>
      <c r="AR23" s="66">
        <f t="shared" si="1"/>
        <v>0</v>
      </c>
      <c r="AS23" t="s">
        <v>178</v>
      </c>
    </row>
    <row r="24" spans="1:45">
      <c r="A24" t="s">
        <v>175</v>
      </c>
      <c r="C24" t="s">
        <v>176</v>
      </c>
      <c r="D24" s="65" t="s">
        <v>135</v>
      </c>
      <c r="E24">
        <v>0</v>
      </c>
      <c r="G24" s="66">
        <f t="shared" si="2"/>
        <v>12.010999999999999</v>
      </c>
      <c r="I24" s="65" t="s">
        <v>136</v>
      </c>
      <c r="J24">
        <v>0</v>
      </c>
      <c r="L24" s="66">
        <f t="shared" si="3"/>
        <v>1.0079400000000001</v>
      </c>
      <c r="N24" t="s">
        <v>137</v>
      </c>
      <c r="O24">
        <v>0</v>
      </c>
      <c r="Q24" s="66">
        <f t="shared" si="4"/>
        <v>15.9994</v>
      </c>
      <c r="S24" t="s">
        <v>138</v>
      </c>
      <c r="T24">
        <v>0</v>
      </c>
      <c r="V24" s="66">
        <f t="shared" si="5"/>
        <v>32.066000000000003</v>
      </c>
      <c r="X24" t="s">
        <v>139</v>
      </c>
      <c r="Y24">
        <v>0</v>
      </c>
      <c r="AA24" s="66">
        <f t="shared" si="6"/>
        <v>14.006740000000001</v>
      </c>
      <c r="AC24" t="s">
        <v>140</v>
      </c>
      <c r="AD24">
        <v>0</v>
      </c>
      <c r="AF24" s="66">
        <f t="shared" si="7"/>
        <v>4.0026020000000004</v>
      </c>
      <c r="AH24" t="s">
        <v>141</v>
      </c>
      <c r="AI24">
        <v>1</v>
      </c>
      <c r="AK24" s="66">
        <f t="shared" si="8"/>
        <v>39.948</v>
      </c>
      <c r="AM24" s="66">
        <f t="shared" si="0"/>
        <v>39.948</v>
      </c>
      <c r="AO24" s="45">
        <f>'Orifice Calculator'!BT24</f>
        <v>0</v>
      </c>
      <c r="AP24" t="s">
        <v>236</v>
      </c>
      <c r="AR24" s="66">
        <f t="shared" si="1"/>
        <v>0</v>
      </c>
      <c r="AS24" t="s">
        <v>178</v>
      </c>
    </row>
    <row r="25" spans="1:45">
      <c r="A25" t="s">
        <v>177</v>
      </c>
      <c r="C25" t="s">
        <v>109</v>
      </c>
      <c r="D25" s="65" t="s">
        <v>135</v>
      </c>
      <c r="E25">
        <v>1</v>
      </c>
      <c r="G25" s="66">
        <f t="shared" si="2"/>
        <v>12.010999999999999</v>
      </c>
      <c r="I25" s="65" t="s">
        <v>136</v>
      </c>
      <c r="J25">
        <v>0</v>
      </c>
      <c r="L25" s="66">
        <f t="shared" si="3"/>
        <v>1.0079400000000001</v>
      </c>
      <c r="N25" t="s">
        <v>137</v>
      </c>
      <c r="O25">
        <v>2</v>
      </c>
      <c r="Q25" s="66">
        <f t="shared" si="4"/>
        <v>15.9994</v>
      </c>
      <c r="S25" t="s">
        <v>138</v>
      </c>
      <c r="T25">
        <v>0</v>
      </c>
      <c r="V25" s="66">
        <f t="shared" si="5"/>
        <v>32.066000000000003</v>
      </c>
      <c r="X25" t="s">
        <v>139</v>
      </c>
      <c r="Y25">
        <v>0</v>
      </c>
      <c r="AA25" s="66">
        <f t="shared" si="6"/>
        <v>14.006740000000001</v>
      </c>
      <c r="AC25" t="s">
        <v>140</v>
      </c>
      <c r="AD25">
        <v>0</v>
      </c>
      <c r="AF25" s="66">
        <f t="shared" si="7"/>
        <v>4.0026020000000004</v>
      </c>
      <c r="AH25" t="s">
        <v>141</v>
      </c>
      <c r="AI25">
        <v>0</v>
      </c>
      <c r="AK25" s="66">
        <f t="shared" si="8"/>
        <v>39.948</v>
      </c>
      <c r="AM25" s="66">
        <f t="shared" si="0"/>
        <v>44.009799999999998</v>
      </c>
      <c r="AO25" s="45">
        <f>'Orifice Calculator'!BT25</f>
        <v>0.72540000000000004</v>
      </c>
      <c r="AP25" t="s">
        <v>236</v>
      </c>
      <c r="AR25" s="66">
        <f t="shared" si="1"/>
        <v>31.92470892</v>
      </c>
      <c r="AS25" t="s">
        <v>178</v>
      </c>
    </row>
    <row r="26" spans="1:45">
      <c r="AM26" s="66"/>
      <c r="AO26" s="66"/>
      <c r="AR26" s="66"/>
    </row>
    <row r="27" spans="1:45">
      <c r="A27" s="48" t="s">
        <v>288</v>
      </c>
      <c r="D27" s="65" t="s">
        <v>135</v>
      </c>
      <c r="E27">
        <v>1</v>
      </c>
      <c r="G27" s="66">
        <f>SUM(E5:E25)*G5</f>
        <v>792.726</v>
      </c>
      <c r="I27" s="65" t="s">
        <v>136</v>
      </c>
      <c r="J27">
        <v>0</v>
      </c>
      <c r="L27" s="66">
        <f>SUM(J5:J25)*L5</f>
        <v>159.25452000000001</v>
      </c>
      <c r="N27" t="s">
        <v>137</v>
      </c>
      <c r="O27">
        <v>2</v>
      </c>
      <c r="Q27" s="66">
        <f>SUM(O5:O25)*Q5</f>
        <v>95.996399999999994</v>
      </c>
      <c r="S27" t="s">
        <v>138</v>
      </c>
      <c r="T27">
        <v>0</v>
      </c>
      <c r="V27" s="66">
        <f>SUM(T5:T25)*V5</f>
        <v>32.066000000000003</v>
      </c>
      <c r="X27" t="s">
        <v>139</v>
      </c>
      <c r="Y27">
        <v>0</v>
      </c>
      <c r="AA27" s="66">
        <f>SUM(Y5:Y25)*AA5</f>
        <v>28.013480000000001</v>
      </c>
      <c r="AC27" t="s">
        <v>140</v>
      </c>
      <c r="AD27">
        <v>0</v>
      </c>
      <c r="AF27" s="66">
        <f>SUM(AD5:AD25)*AF5</f>
        <v>4.0026020000000004</v>
      </c>
      <c r="AH27" t="s">
        <v>141</v>
      </c>
      <c r="AI27">
        <v>0</v>
      </c>
      <c r="AK27" s="66">
        <f>SUM(AI5:AI25)*AK5</f>
        <v>39.948</v>
      </c>
      <c r="AM27" s="66">
        <f>SUM(AM5:AM25)</f>
        <v>1152.0070020000001</v>
      </c>
      <c r="AO27" s="67">
        <f>SUM(AO5:AO25)/100</f>
        <v>1.0000010000000001</v>
      </c>
      <c r="AP27" t="s">
        <v>179</v>
      </c>
      <c r="AR27" s="67">
        <f>SUM(AR5:AR25)/100</f>
        <v>16.797305410120003</v>
      </c>
      <c r="AS27" s="74" t="s">
        <v>287</v>
      </c>
    </row>
    <row r="28" spans="1:45">
      <c r="A28" s="48" t="s">
        <v>251</v>
      </c>
      <c r="D28" s="65"/>
      <c r="G28" s="66"/>
      <c r="I28" s="65"/>
      <c r="L28" s="66"/>
      <c r="Q28" s="66"/>
      <c r="V28" s="66"/>
      <c r="AA28" s="66"/>
      <c r="AF28" s="66"/>
      <c r="AK28" s="66"/>
      <c r="AM28" s="66"/>
      <c r="AO28" s="67"/>
      <c r="AR28" s="67">
        <f>AR27/(0.2095*AM22+0.7805*AM21)</f>
        <v>0.58797069486505071</v>
      </c>
      <c r="AS28" s="74" t="s">
        <v>222</v>
      </c>
    </row>
    <row r="29" spans="1:45">
      <c r="A29" s="48"/>
      <c r="AM29" s="66"/>
      <c r="AR29" s="71"/>
      <c r="AS29" s="48"/>
    </row>
    <row r="30" spans="1:45">
      <c r="A30" s="54" t="s">
        <v>286</v>
      </c>
      <c r="AM30" s="66"/>
      <c r="AO30" s="68"/>
      <c r="AR30" s="67"/>
      <c r="AS30" s="60"/>
    </row>
    <row r="31" spans="1:45">
      <c r="A31" s="48" t="s">
        <v>237</v>
      </c>
      <c r="AM31" s="66"/>
      <c r="AQ31" s="52" t="s">
        <v>285</v>
      </c>
      <c r="AR31" s="89">
        <v>456</v>
      </c>
      <c r="AS31" s="48" t="s">
        <v>215</v>
      </c>
    </row>
    <row r="32" spans="1:45">
      <c r="A32" s="48" t="s">
        <v>238</v>
      </c>
      <c r="AM32" s="66"/>
      <c r="AQ32" s="52" t="s">
        <v>308</v>
      </c>
      <c r="AR32" s="69">
        <f>14.54*((55096-(AR31-361))/(55096+(AR31-361)))</f>
        <v>14.489944737366597</v>
      </c>
      <c r="AS32" s="48" t="s">
        <v>240</v>
      </c>
    </row>
    <row r="33" spans="1:45">
      <c r="A33" s="48" t="s">
        <v>239</v>
      </c>
      <c r="AM33" s="66"/>
      <c r="AQ33" s="52" t="s">
        <v>258</v>
      </c>
      <c r="AR33" s="89">
        <v>341</v>
      </c>
      <c r="AS33" s="48" t="s">
        <v>116</v>
      </c>
    </row>
    <row r="34" spans="1:45">
      <c r="A34" s="48"/>
      <c r="AM34" s="66"/>
      <c r="AO34" s="52" t="s">
        <v>241</v>
      </c>
      <c r="AQ34" s="52" t="s">
        <v>311</v>
      </c>
      <c r="AR34" s="68">
        <f>AR32+AR33</f>
        <v>355.48994473736661</v>
      </c>
      <c r="AS34" s="48" t="s">
        <v>214</v>
      </c>
    </row>
    <row r="35" spans="1:45">
      <c r="A35" s="48" t="s">
        <v>242</v>
      </c>
      <c r="AM35" s="66"/>
      <c r="AQ35" s="52" t="s">
        <v>252</v>
      </c>
      <c r="AR35" s="89">
        <v>105</v>
      </c>
      <c r="AS35" s="48" t="s">
        <v>133</v>
      </c>
    </row>
    <row r="36" spans="1:45">
      <c r="A36" s="48" t="s">
        <v>243</v>
      </c>
      <c r="AM36" s="66"/>
      <c r="AQ36" s="52" t="s">
        <v>357</v>
      </c>
      <c r="AR36" s="71">
        <f>'Orifice Calculator'!BT45</f>
        <v>0.90796629601053191</v>
      </c>
      <c r="AS36" s="48" t="s">
        <v>245</v>
      </c>
    </row>
    <row r="37" spans="1:45">
      <c r="A37" s="48" t="s">
        <v>243</v>
      </c>
      <c r="AM37" s="66"/>
      <c r="AQ37" s="52" t="s">
        <v>357</v>
      </c>
      <c r="AR37" s="86">
        <f>'Orifice Calculator'!BT46</f>
        <v>0.90526730159158963</v>
      </c>
      <c r="AS37" s="48" t="s">
        <v>246</v>
      </c>
    </row>
    <row r="38" spans="1:45">
      <c r="A38" s="48" t="s">
        <v>289</v>
      </c>
      <c r="AQ38" s="52" t="s">
        <v>280</v>
      </c>
      <c r="AR38" s="90">
        <v>105</v>
      </c>
      <c r="AS38" s="48" t="s">
        <v>133</v>
      </c>
    </row>
    <row r="39" spans="1:45">
      <c r="A39" s="48" t="s">
        <v>248</v>
      </c>
      <c r="AQ39" s="52" t="s">
        <v>310</v>
      </c>
      <c r="AR39" s="91">
        <v>3.0680000000000001</v>
      </c>
      <c r="AS39" s="48" t="s">
        <v>249</v>
      </c>
    </row>
    <row r="40" spans="1:45">
      <c r="A40" s="48" t="s">
        <v>250</v>
      </c>
      <c r="AQ40" s="52" t="s">
        <v>309</v>
      </c>
      <c r="AR40" s="93">
        <v>1.5</v>
      </c>
      <c r="AS40" s="48" t="s">
        <v>249</v>
      </c>
    </row>
    <row r="41" spans="1:45">
      <c r="A41" s="48" t="s">
        <v>274</v>
      </c>
      <c r="AQ41" s="52" t="s">
        <v>275</v>
      </c>
      <c r="AR41" s="73">
        <f>AR40/AR39</f>
        <v>0.4889178617992177</v>
      </c>
      <c r="AS41" s="48"/>
    </row>
    <row r="42" spans="1:45">
      <c r="A42" s="48" t="s">
        <v>256</v>
      </c>
      <c r="AQ42" s="52" t="s">
        <v>253</v>
      </c>
      <c r="AR42" s="92">
        <v>14.731999999999999</v>
      </c>
      <c r="AS42" s="48" t="s">
        <v>214</v>
      </c>
    </row>
    <row r="43" spans="1:45">
      <c r="A43" s="48" t="s">
        <v>257</v>
      </c>
      <c r="AQ43" s="52" t="s">
        <v>254</v>
      </c>
      <c r="AR43" s="92">
        <v>60</v>
      </c>
      <c r="AS43" s="48" t="s">
        <v>133</v>
      </c>
    </row>
    <row r="44" spans="1:45">
      <c r="A44" s="48" t="s">
        <v>260</v>
      </c>
      <c r="AQ44" s="52" t="s">
        <v>259</v>
      </c>
      <c r="AR44" s="92">
        <v>18.8</v>
      </c>
      <c r="AS44" s="48" t="s">
        <v>261</v>
      </c>
    </row>
    <row r="45" spans="1:45">
      <c r="A45" s="48"/>
      <c r="AO45" s="52" t="s">
        <v>241</v>
      </c>
      <c r="AQ45" s="52" t="s">
        <v>259</v>
      </c>
      <c r="AR45" s="53">
        <f>AR44/27.679904843</f>
        <v>0.67919308634308229</v>
      </c>
      <c r="AS45" s="48" t="s">
        <v>290</v>
      </c>
    </row>
    <row r="46" spans="1:45">
      <c r="A46" s="48" t="s">
        <v>313</v>
      </c>
      <c r="AQ46" s="52" t="s">
        <v>255</v>
      </c>
      <c r="AR46" s="92">
        <v>472.97</v>
      </c>
      <c r="AS46" s="48" t="s">
        <v>292</v>
      </c>
    </row>
    <row r="47" spans="1:45">
      <c r="A47" s="48" t="s">
        <v>264</v>
      </c>
      <c r="AQ47" s="52" t="s">
        <v>262</v>
      </c>
      <c r="AR47" s="73">
        <f>14.732/AR42</f>
        <v>1</v>
      </c>
    </row>
    <row r="48" spans="1:45">
      <c r="A48" s="48" t="s">
        <v>263</v>
      </c>
      <c r="AQ48" s="52" t="s">
        <v>265</v>
      </c>
      <c r="AR48" s="73">
        <f>SQRT((459.67+60)/(459.67+AR35))</f>
        <v>0.95932655347471507</v>
      </c>
    </row>
    <row r="49" spans="1:47">
      <c r="A49" s="48" t="s">
        <v>266</v>
      </c>
      <c r="AQ49" s="52" t="s">
        <v>267</v>
      </c>
      <c r="AR49" s="73">
        <f>SQRT(1/AR37)</f>
        <v>1.0510214586060505</v>
      </c>
    </row>
    <row r="50" spans="1:47">
      <c r="A50" s="48" t="s">
        <v>268</v>
      </c>
      <c r="AQ50" s="52" t="s">
        <v>269</v>
      </c>
      <c r="AR50" s="73">
        <f>SQRT(1/AR28)</f>
        <v>1.3041338259425335</v>
      </c>
    </row>
    <row r="51" spans="1:47">
      <c r="A51" s="48" t="s">
        <v>314</v>
      </c>
      <c r="AQ51" s="52" t="s">
        <v>272</v>
      </c>
      <c r="AR51" s="93">
        <v>4.36E-2</v>
      </c>
      <c r="AS51" s="48" t="s">
        <v>293</v>
      </c>
    </row>
    <row r="52" spans="1:47">
      <c r="A52" s="48" t="s">
        <v>270</v>
      </c>
      <c r="AQ52" s="52" t="s">
        <v>271</v>
      </c>
      <c r="AR52" s="73">
        <f>1+AR51/SQRT(AR44*AR34)</f>
        <v>1.0005333274095585</v>
      </c>
    </row>
    <row r="53" spans="1:47">
      <c r="A53" s="48" t="s">
        <v>297</v>
      </c>
      <c r="AQ53" s="52" t="s">
        <v>299</v>
      </c>
      <c r="AR53" s="73">
        <f>AR44/(AR34-AR45)</f>
        <v>5.2985992990682726E-2</v>
      </c>
    </row>
    <row r="54" spans="1:47" hidden="1">
      <c r="A54" s="54" t="s">
        <v>306</v>
      </c>
      <c r="AO54" s="65">
        <v>1</v>
      </c>
      <c r="AP54">
        <v>2</v>
      </c>
      <c r="AQ54" s="52"/>
      <c r="AR54" s="73"/>
    </row>
    <row r="55" spans="1:47" hidden="1">
      <c r="A55" s="48" t="s">
        <v>196</v>
      </c>
      <c r="AO55">
        <f>HLOOKUP(AR41,'Y Table'!B6:BO6,1)</f>
        <v>0.48000000000000032</v>
      </c>
      <c r="AP55" s="76">
        <f>HLOOKUP(AR41,'Y Table'!B6:BO6,1)+0.01</f>
        <v>0.49000000000000032</v>
      </c>
      <c r="AQ55" s="52"/>
      <c r="AR55" s="73"/>
    </row>
    <row r="56" spans="1:47" hidden="1">
      <c r="A56" s="48" t="s">
        <v>297</v>
      </c>
      <c r="AO56">
        <f>VLOOKUP(AR53,'Y Table'!A7:A46,1)</f>
        <v>0</v>
      </c>
      <c r="AP56" s="80">
        <f>VLOOKUP(AR53,'Y Table'!A7:A46,1)+0.1</f>
        <v>0.1</v>
      </c>
      <c r="AQ56" s="52"/>
      <c r="AR56" s="73"/>
    </row>
    <row r="57" spans="1:47" hidden="1">
      <c r="A57" s="48" t="s">
        <v>300</v>
      </c>
      <c r="AO57">
        <f>MATCH(AO55,'Y Table'!B6:BO6)</f>
        <v>39</v>
      </c>
      <c r="AP57">
        <f>MATCH(AP55,'Y Table'!B6:BO6)</f>
        <v>40</v>
      </c>
      <c r="AQ57" s="52"/>
      <c r="AR57" s="73"/>
    </row>
    <row r="58" spans="1:47" hidden="1">
      <c r="A58" s="48" t="s">
        <v>301</v>
      </c>
      <c r="AO58">
        <f>MATCH(AO56,'Y Table'!A7:A47)</f>
        <v>1</v>
      </c>
      <c r="AP58">
        <f>MATCH(AP56,'Y Table'!A7:A47)</f>
        <v>2</v>
      </c>
      <c r="AQ58" s="52"/>
      <c r="AR58" s="73"/>
    </row>
    <row r="59" spans="1:47" hidden="1">
      <c r="A59" s="48" t="s">
        <v>302</v>
      </c>
      <c r="AO59" s="73">
        <f>INDEX('Y Table'!B7:BO47,AO58,AO57)</f>
        <v>1</v>
      </c>
      <c r="AP59" s="73">
        <f>INDEX('Y Table'!B7:BO47,AO58,AP57)</f>
        <v>1</v>
      </c>
      <c r="AQ59" s="52"/>
      <c r="AR59" s="73"/>
    </row>
    <row r="60" spans="1:47" hidden="1">
      <c r="A60" s="48" t="s">
        <v>303</v>
      </c>
      <c r="AO60" s="73">
        <f>INDEX('Y Table'!B7:BO47,AP58,AO57)</f>
        <v>1.0005999999999999</v>
      </c>
      <c r="AP60" s="73">
        <f>INDEX('Y Table'!B7:BO47,AP58,AP57)</f>
        <v>1.0005999999999999</v>
      </c>
      <c r="AQ60" s="52"/>
      <c r="AR60" s="73"/>
    </row>
    <row r="61" spans="1:47" hidden="1">
      <c r="A61" s="48" t="s">
        <v>304</v>
      </c>
      <c r="AO61" s="73">
        <f>(AO59*(AP55-AR41)+AP59*(AR41-AO55))/(AP55-AO55)</f>
        <v>1</v>
      </c>
      <c r="AP61" s="73">
        <f>(AO60*(AP55-AR41)+AP60*(AR41-AO55))/(AP55-AO55)</f>
        <v>1.0006000000000002</v>
      </c>
      <c r="AQ61" s="52"/>
      <c r="AR61" s="73"/>
    </row>
    <row r="62" spans="1:47" hidden="1">
      <c r="A62" s="48" t="s">
        <v>305</v>
      </c>
      <c r="AO62" s="73">
        <f>(AO59*(AP56-AR53)+AO60*(AR53-AO56))/(AP56-AO56)</f>
        <v>1.0003179159579441</v>
      </c>
      <c r="AP62" s="73">
        <f>(AP59*(AP56-AR53)+AP60*(AR53-AO56))/(AP56-AO56)</f>
        <v>1.0003179159579441</v>
      </c>
      <c r="AQ62" s="52"/>
      <c r="AR62" s="73"/>
    </row>
    <row r="63" spans="1:47">
      <c r="A63" s="48" t="s">
        <v>316</v>
      </c>
      <c r="AQ63" s="52" t="s">
        <v>273</v>
      </c>
      <c r="AR63" s="73">
        <f>(AO62*(AP55-AR41)+AP62*(AR41-AO55))/(AP55-AO55)</f>
        <v>1.0003179159579441</v>
      </c>
      <c r="AS63" s="80"/>
      <c r="AT63" s="76"/>
      <c r="AU63" s="80"/>
    </row>
    <row r="64" spans="1:47">
      <c r="A64" s="48" t="s">
        <v>276</v>
      </c>
      <c r="AQ64" s="52" t="s">
        <v>277</v>
      </c>
      <c r="AR64" s="73">
        <f>(459.67+AR43)/(459.67+60)</f>
        <v>1</v>
      </c>
    </row>
    <row r="65" spans="1:45">
      <c r="A65" s="48" t="s">
        <v>328</v>
      </c>
      <c r="AQ65" s="52" t="s">
        <v>326</v>
      </c>
      <c r="AR65" s="93">
        <v>47.228929999999998</v>
      </c>
      <c r="AS65" t="s">
        <v>327</v>
      </c>
    </row>
    <row r="66" spans="1:45">
      <c r="A66" s="48" t="s">
        <v>324</v>
      </c>
      <c r="AQ66" s="52" t="s">
        <v>325</v>
      </c>
      <c r="AR66" s="73">
        <f>SQRT((980.665+0.087*(AR65-43)-0.000094*AR31)/980.665)</f>
        <v>1.0001657171301177</v>
      </c>
    </row>
    <row r="67" spans="1:45">
      <c r="A67" s="48" t="s">
        <v>278</v>
      </c>
      <c r="AQ67" s="52" t="s">
        <v>279</v>
      </c>
      <c r="AR67" s="73">
        <f>1+(0.0000185*(AR35-AR38))</f>
        <v>1</v>
      </c>
    </row>
    <row r="68" spans="1:45" ht="15.75">
      <c r="A68" s="48" t="s">
        <v>281</v>
      </c>
      <c r="AQ68" s="52" t="s">
        <v>282</v>
      </c>
      <c r="AR68" s="87">
        <f>AR46*AR47*AR48*AR49*AR50*AR52*AR63*AR64*AR66*AR67</f>
        <v>622.55162873337838</v>
      </c>
    </row>
    <row r="69" spans="1:45" ht="15.75">
      <c r="A69" s="48" t="s">
        <v>283</v>
      </c>
      <c r="AQ69" s="52" t="s">
        <v>284</v>
      </c>
      <c r="AR69" s="88">
        <f>AR68*SQRT(AR44*AR34)</f>
        <v>50894.16093435412</v>
      </c>
      <c r="AS69" s="48" t="s">
        <v>291</v>
      </c>
    </row>
    <row r="70" spans="1:45">
      <c r="AQ70" s="52" t="s">
        <v>284</v>
      </c>
      <c r="AR70" s="76">
        <f>AR69*24/1000</f>
        <v>1221.4598624244989</v>
      </c>
      <c r="AS70" s="48" t="s">
        <v>307</v>
      </c>
    </row>
    <row r="81" spans="1:45">
      <c r="AR81" s="79"/>
      <c r="AS81" s="48"/>
    </row>
    <row r="82" spans="1:45">
      <c r="A82" s="48"/>
      <c r="AQ82" s="52"/>
      <c r="AR82" s="51"/>
      <c r="AS82" s="78"/>
    </row>
    <row r="83" spans="1:45">
      <c r="AR83" s="77"/>
      <c r="AS83" s="77"/>
    </row>
    <row r="84" spans="1:45">
      <c r="AR84" s="77"/>
      <c r="AS84" s="77"/>
    </row>
    <row r="85" spans="1:45">
      <c r="AR85" s="77"/>
      <c r="AS85" s="77"/>
    </row>
    <row r="86" spans="1:45">
      <c r="AR86" s="77"/>
      <c r="AS86" s="77"/>
    </row>
    <row r="87" spans="1:45">
      <c r="AR87" s="77"/>
      <c r="AS87" s="77"/>
    </row>
    <row r="88" spans="1:45">
      <c r="AR88" s="77"/>
      <c r="AS88" s="77"/>
    </row>
    <row r="89" spans="1:45">
      <c r="AR89" s="77"/>
      <c r="AS89" s="77"/>
    </row>
    <row r="90" spans="1:45">
      <c r="AR90" s="77"/>
      <c r="AS90" s="77"/>
    </row>
    <row r="91" spans="1:45">
      <c r="AR91" s="77"/>
      <c r="AS91" s="77"/>
    </row>
    <row r="92" spans="1:45">
      <c r="AR92" s="77"/>
      <c r="AS92" s="77"/>
    </row>
    <row r="93" spans="1:45">
      <c r="AR93" s="77"/>
      <c r="AS93" s="77"/>
    </row>
    <row r="94" spans="1:45">
      <c r="AR94" s="77"/>
      <c r="AS94" s="77"/>
    </row>
    <row r="95" spans="1:45">
      <c r="AR95" s="77"/>
      <c r="AS95" s="77"/>
    </row>
    <row r="96" spans="1:45">
      <c r="AR96" s="77"/>
      <c r="AS96" s="77"/>
    </row>
    <row r="97" spans="44:45">
      <c r="AR97" s="77"/>
      <c r="AS97" s="77"/>
    </row>
    <row r="98" spans="44:45">
      <c r="AR98" s="77"/>
      <c r="AS98" s="77"/>
    </row>
    <row r="99" spans="44:45">
      <c r="AR99" s="77"/>
      <c r="AS99" s="77"/>
    </row>
    <row r="100" spans="44:45">
      <c r="AR100" s="77"/>
      <c r="AS100" s="77"/>
    </row>
    <row r="101" spans="44:45">
      <c r="AR101" s="77"/>
      <c r="AS101" s="77"/>
    </row>
    <row r="102" spans="44:45">
      <c r="AR102" s="77"/>
      <c r="AS102" s="77"/>
    </row>
    <row r="103" spans="44:45">
      <c r="AR103" s="77"/>
      <c r="AS103" s="77"/>
    </row>
    <row r="104" spans="44:45">
      <c r="AR104" s="77"/>
      <c r="AS104" s="77"/>
    </row>
    <row r="105" spans="44:45">
      <c r="AR105" s="77"/>
      <c r="AS105" s="77"/>
    </row>
    <row r="106" spans="44:45">
      <c r="AR106" s="77"/>
      <c r="AS106" s="77"/>
    </row>
    <row r="107" spans="44:45">
      <c r="AR107" s="77"/>
      <c r="AS107" s="77"/>
    </row>
    <row r="108" spans="44:45">
      <c r="AR108" s="77"/>
      <c r="AS108" s="77"/>
    </row>
    <row r="109" spans="44:45">
      <c r="AR109" s="77"/>
      <c r="AS109" s="77"/>
    </row>
    <row r="110" spans="44:45">
      <c r="AR110" s="77"/>
      <c r="AS110" s="77"/>
    </row>
    <row r="111" spans="44:45">
      <c r="AR111" s="77"/>
      <c r="AS111" s="77"/>
    </row>
    <row r="112" spans="44:45">
      <c r="AR112" s="77"/>
      <c r="AS112" s="77"/>
    </row>
    <row r="113" spans="44:44">
      <c r="AR113" s="77"/>
    </row>
    <row r="114" spans="44:44">
      <c r="AR114" s="77"/>
    </row>
    <row r="115" spans="44:44">
      <c r="AR115" s="77"/>
    </row>
    <row r="116" spans="44:44">
      <c r="AR116" s="77"/>
    </row>
    <row r="117" spans="44:44">
      <c r="AR117" s="77"/>
    </row>
  </sheetData>
  <sheetProtection password="CF78" sheet="1" objects="1" scenarios="1"/>
  <mergeCells count="7">
    <mergeCell ref="AH4:AI4"/>
    <mergeCell ref="D4:E4"/>
    <mergeCell ref="I4:J4"/>
    <mergeCell ref="N4:O4"/>
    <mergeCell ref="S4:T4"/>
    <mergeCell ref="X4:Y4"/>
    <mergeCell ref="AC4:AD4"/>
  </mergeCells>
  <pageMargins left="0.7" right="0.7" top="0.75" bottom="0.75" header="0.3" footer="0.3"/>
  <pageSetup scale="65" orientation="portrait" r:id="rId1"/>
  <ignoredErrors>
    <ignoredError sqref="AO5:AO25" unlockedFormula="1"/>
  </ignoredErrors>
  <legacyDrawing r:id="rId2"/>
  <oleObjects>
    <oleObject progId="Equation.3" shapeId="329729" r:id="rId3"/>
    <oleObject progId="Equation.3" shapeId="329730" r:id="rId4"/>
    <oleObject progId="Equation.3" shapeId="329731" r:id="rId5"/>
    <oleObject progId="Equation.3" shapeId="329732" r:id="rId6"/>
    <oleObject progId="Equation.3" shapeId="329733" r:id="rId7"/>
    <oleObject progId="Equation.3" shapeId="329734" r:id="rId8"/>
    <oleObject progId="Equation.3" shapeId="329735" r:id="rId9"/>
    <oleObject progId="Equation.3" shapeId="329736" r:id="rId10"/>
    <oleObject progId="Equation.3" shapeId="329737" r:id="rId11"/>
    <oleObject progId="Equation.3" shapeId="329738" r:id="rId12"/>
    <oleObject progId="Equation.3" shapeId="329740" r:id="rId13"/>
    <oleObject progId="Equation.3" shapeId="329741" r:id="rId14"/>
  </oleObjects>
</worksheet>
</file>

<file path=xl/worksheets/sheet9.xml><?xml version="1.0" encoding="utf-8"?>
<worksheet xmlns="http://schemas.openxmlformats.org/spreadsheetml/2006/main" xmlns:r="http://schemas.openxmlformats.org/officeDocument/2006/relationships">
  <sheetPr codeName="Sheet12"/>
  <dimension ref="A1:A3"/>
  <sheetViews>
    <sheetView workbookViewId="0">
      <selection activeCell="A46" sqref="A46"/>
    </sheetView>
  </sheetViews>
  <sheetFormatPr defaultRowHeight="12.75"/>
  <sheetData>
    <row r="1" spans="1:1">
      <c r="A1" s="54" t="s">
        <v>321</v>
      </c>
    </row>
    <row r="2" spans="1:1">
      <c r="A2" s="54" t="s">
        <v>317</v>
      </c>
    </row>
    <row r="3" spans="1:1">
      <c r="A3" s="54" t="s">
        <v>320</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12</vt:i4>
      </vt:variant>
      <vt:variant>
        <vt:lpstr>Charts</vt:lpstr>
      </vt:variant>
      <vt:variant>
        <vt:i4>6</vt:i4>
      </vt:variant>
      <vt:variant>
        <vt:lpstr>Named Ranges</vt:lpstr>
      </vt:variant>
      <vt:variant>
        <vt:i4>19</vt:i4>
      </vt:variant>
    </vt:vector>
  </HeadingPairs>
  <TitlesOfParts>
    <vt:vector size="37" baseType="lpstr">
      <vt:lpstr>Orifice Calculator</vt:lpstr>
      <vt:lpstr>Z Calculation Method 1</vt:lpstr>
      <vt:lpstr>Z Calculation Method 2</vt:lpstr>
      <vt:lpstr>DATA - MW = 15.95 (Sp Gr= 0.55)</vt:lpstr>
      <vt:lpstr>DATA - MW = 17.40 (Sp Gr= 0.6)</vt:lpstr>
      <vt:lpstr>DATA - MW = 18.85 (Sp Gr= 0.65)</vt:lpstr>
      <vt:lpstr>Z Ratio - Velocity Sheet</vt:lpstr>
      <vt:lpstr>Orifice Calculator - Tables</vt:lpstr>
      <vt:lpstr>Fb Table</vt:lpstr>
      <vt:lpstr>b Table</vt:lpstr>
      <vt:lpstr>Y2 Table</vt:lpstr>
      <vt:lpstr>Y Table</vt:lpstr>
      <vt:lpstr>Z - Chart - MW = 15.95 (1)</vt:lpstr>
      <vt:lpstr>Z - Chart - MW = 15.95 (2)</vt:lpstr>
      <vt:lpstr>Z Chart - MW = 17.40 (1)</vt:lpstr>
      <vt:lpstr>Z Chart - MW = 17.40 (2)</vt:lpstr>
      <vt:lpstr>Z - Chart - MW = 18.85 (1)</vt:lpstr>
      <vt:lpstr>Z - Chart - MW = 18.85 (2)</vt:lpstr>
      <vt:lpstr>A</vt:lpstr>
      <vt:lpstr>B</vt:lpstr>
      <vt:lpstr>CO</vt:lpstr>
      <vt:lpstr>D</vt:lpstr>
      <vt:lpstr>F</vt:lpstr>
      <vt:lpstr>G</vt:lpstr>
      <vt:lpstr>H</vt:lpstr>
      <vt:lpstr>J</vt:lpstr>
      <vt:lpstr>K</vt:lpstr>
      <vt:lpstr>L</vt:lpstr>
      <vt:lpstr>N</vt:lpstr>
      <vt:lpstr>P</vt:lpstr>
      <vt:lpstr>Patm</vt:lpstr>
      <vt:lpstr>'Orifice Calculator'!Print_Area</vt:lpstr>
      <vt:lpstr>SG</vt:lpstr>
      <vt:lpstr>T</vt:lpstr>
      <vt:lpstr>X</vt:lpstr>
      <vt:lpstr>Y</vt:lpstr>
      <vt:lpstr>Z</vt:lpstr>
    </vt:vector>
  </TitlesOfParts>
  <Company>Williams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WILLIAMS COMPANIES, INC.</dc:creator>
  <cp:lastModifiedBy>markhul</cp:lastModifiedBy>
  <cp:lastPrinted>2012-02-10T02:46:46Z</cp:lastPrinted>
  <dcterms:created xsi:type="dcterms:W3CDTF">2007-02-12T17:20:52Z</dcterms:created>
  <dcterms:modified xsi:type="dcterms:W3CDTF">2012-02-23T22:44:50Z</dcterms:modified>
</cp:coreProperties>
</file>