
<file path=[Content_Types].xml><?xml version="1.0" encoding="utf-8"?>
<Types xmlns="http://schemas.openxmlformats.org/package/2006/content-types">
  <Default Extension="bin" ContentType="application/vnd.openxmlformats-officedocument.spreadsheetml.printerSettings"/>
  <Override PartName="/xl/embeddings/oleObject7.bin" ContentType="application/vnd.openxmlformats-officedocument.oleObject"/>
  <Override PartName="/xl/embeddings/oleObject8.bin" ContentType="application/vnd.openxmlformats-officedocument.oleObject"/>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embeddings/oleObject12.bin" ContentType="application/vnd.openxmlformats-officedocument.oleObject"/>
  <Override PartName="/xl/worksheets/sheet6.xml" ContentType="application/vnd.openxmlformats-officedocument.spreadsheetml.worksheet+xml"/>
  <Default Extension="emf" ContentType="image/x-emf"/>
  <Override PartName="/xl/embeddings/oleObject3.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embeddings/oleObject4.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embeddings/oleObject9.bin" ContentType="application/vnd.openxmlformats-officedocument.oleObject"/>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15180" windowHeight="8835" tabRatio="743"/>
  </bookViews>
  <sheets>
    <sheet name="Single Point Charge" sheetId="4" r:id="rId1"/>
    <sheet name="Parallel Line Charge" sheetId="5" r:id="rId2"/>
    <sheet name="Parallel Grid Charge" sheetId="6" r:id="rId3"/>
    <sheet name="Angled Line Charge" sheetId="7" r:id="rId4"/>
    <sheet name="Angled Grid Charge" sheetId="10" r:id="rId5"/>
    <sheet name="Data Charts" sheetId="3" r:id="rId6"/>
  </sheets>
  <definedNames>
    <definedName name="A">#REF!</definedName>
    <definedName name="AA">#REF!</definedName>
    <definedName name="B">#REF!</definedName>
    <definedName name="BB">#REF!</definedName>
    <definedName name="c_">#REF!</definedName>
    <definedName name="d">#REF!</definedName>
    <definedName name="D_">#REF!</definedName>
    <definedName name="DSF">#REF!</definedName>
    <definedName name="L">'Data Charts'!#REF!</definedName>
    <definedName name="L1_">#REF!</definedName>
    <definedName name="L2_">#REF!</definedName>
    <definedName name="MAOP">#REF!</definedName>
    <definedName name="n">#REF!</definedName>
    <definedName name="N1_">#REF!</definedName>
    <definedName name="N2_">#REF!</definedName>
    <definedName name="p">#REF!</definedName>
    <definedName name="Po">#REF!</definedName>
    <definedName name="_xlnm.Print_Area" localSheetId="4">'Angled Grid Charge'!$A$1:$E$58</definedName>
    <definedName name="_xlnm.Print_Area" localSheetId="3">'Angled Line Charge'!$A$1:$E$55</definedName>
    <definedName name="_xlnm.Print_Area" localSheetId="2">'Parallel Grid Charge'!$A$1:$E$57</definedName>
    <definedName name="_xlnm.Print_Area" localSheetId="1">'Parallel Line Charge'!$A$1:$E$55</definedName>
    <definedName name="_xlnm.Print_Area" localSheetId="0">'Single Point Charge'!$A$1:$E$49</definedName>
    <definedName name="R_">#REF!</definedName>
    <definedName name="Rgcl">#REF!</definedName>
    <definedName name="SMYS">#REF!</definedName>
    <definedName name="t">#REF!</definedName>
    <definedName name="U">#REF!</definedName>
    <definedName name="W">#REF!</definedName>
    <definedName name="We">#REF!</definedName>
    <definedName name="Wee">#REF!</definedName>
    <definedName name="Wetot">#REF!</definedName>
    <definedName name="Wtot">#REF!</definedName>
    <definedName name="X">#REF!</definedName>
  </definedNames>
  <calcPr calcId="125725"/>
</workbook>
</file>

<file path=xl/calcChain.xml><?xml version="1.0" encoding="utf-8"?>
<calcChain xmlns="http://schemas.openxmlformats.org/spreadsheetml/2006/main">
  <c r="A6" i="3"/>
  <c r="A7" s="1"/>
  <c r="A8" s="1"/>
  <c r="A9" s="1"/>
  <c r="A10" s="1"/>
  <c r="A11" s="1"/>
  <c r="A12" s="1"/>
  <c r="A13" s="1"/>
  <c r="A14" s="1"/>
  <c r="A15" s="1"/>
  <c r="A16" s="1"/>
  <c r="A17" s="1"/>
  <c r="A18" s="1"/>
  <c r="A19" s="1"/>
  <c r="A20" s="1"/>
  <c r="A22" s="1"/>
  <c r="C23" i="6"/>
  <c r="C46" i="10"/>
  <c r="C42" i="7"/>
  <c r="C43" s="1"/>
  <c r="C44" s="1"/>
  <c r="C45" i="6"/>
  <c r="C39" i="5"/>
  <c r="C22" i="6"/>
  <c r="A52" s="1"/>
  <c r="C23" i="10"/>
  <c r="C24"/>
  <c r="C26" s="1"/>
  <c r="C16"/>
  <c r="C20" i="6"/>
  <c r="C17"/>
  <c r="C20" i="10"/>
  <c r="C28" s="1"/>
  <c r="C17"/>
  <c r="C43"/>
  <c r="C25"/>
  <c r="A55" s="1"/>
  <c r="A50"/>
  <c r="C47"/>
  <c r="C48" s="1"/>
  <c r="C30"/>
  <c r="C27" i="6"/>
  <c r="E28" i="10"/>
  <c r="C15" i="7"/>
  <c r="C20"/>
  <c r="C21" s="1"/>
  <c r="C18"/>
  <c r="C39"/>
  <c r="C16" i="6"/>
  <c r="C42"/>
  <c r="C17" i="5"/>
  <c r="C15"/>
  <c r="C36"/>
  <c r="C28" i="4"/>
  <c r="C31"/>
  <c r="C32"/>
  <c r="C33" s="1"/>
  <c r="C40" i="5"/>
  <c r="C41" s="1"/>
  <c r="C46" i="6"/>
  <c r="C47"/>
  <c r="C26"/>
  <c r="C24"/>
  <c r="E24"/>
  <c r="C25"/>
  <c r="E25"/>
  <c r="C21" i="5"/>
  <c r="C20"/>
  <c r="E20"/>
  <c r="C31" i="10"/>
  <c r="A35"/>
  <c r="A33"/>
  <c r="C27"/>
  <c r="C25" i="7"/>
  <c r="G93" i="3"/>
  <c r="G80"/>
  <c r="C28" i="6"/>
  <c r="A29"/>
  <c r="A31"/>
  <c r="C22" i="5"/>
  <c r="C19"/>
  <c r="C15" i="4"/>
  <c r="C12" i="10" l="1"/>
  <c r="C53" s="1"/>
  <c r="C12" i="7"/>
  <c r="C50" s="1"/>
  <c r="A23" i="3"/>
  <c r="A24" s="1"/>
  <c r="A25" s="1"/>
  <c r="A26"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3" s="1"/>
  <c r="A64" s="1"/>
  <c r="A65" s="1"/>
  <c r="A67" s="1"/>
  <c r="A68" s="1"/>
  <c r="A69" s="1"/>
  <c r="A70" s="1"/>
  <c r="A71" s="1"/>
  <c r="A72" s="1"/>
  <c r="A73" s="1"/>
  <c r="A74" s="1"/>
  <c r="A75" s="1"/>
  <c r="A77" s="1"/>
  <c r="A78" s="1"/>
  <c r="A79" s="1"/>
  <c r="A80" s="1"/>
  <c r="C12" i="6"/>
  <c r="C12" i="5"/>
  <c r="C24" i="7"/>
  <c r="C23"/>
  <c r="C49"/>
  <c r="C22"/>
  <c r="E23"/>
  <c r="A54" i="10"/>
  <c r="A49" i="6"/>
  <c r="A30"/>
  <c r="A32" i="10"/>
  <c r="A53"/>
  <c r="C53" i="6"/>
  <c r="A48"/>
  <c r="A54"/>
  <c r="A53"/>
  <c r="A32"/>
  <c r="A34" i="10"/>
  <c r="E27"/>
  <c r="C32"/>
  <c r="C33" s="1"/>
  <c r="C34" s="1"/>
  <c r="C35" s="1"/>
  <c r="C36" s="1"/>
  <c r="A49"/>
  <c r="C29"/>
  <c r="C26" i="7" l="1"/>
  <c r="C27" s="1"/>
  <c r="C28" s="1"/>
  <c r="C29" s="1"/>
  <c r="C31" s="1"/>
  <c r="C47" i="5"/>
  <c r="C46"/>
  <c r="C23"/>
  <c r="C24" s="1"/>
  <c r="C25" s="1"/>
  <c r="C26" s="1"/>
  <c r="C28" s="1"/>
  <c r="D11" i="7"/>
  <c r="C39" i="10"/>
  <c r="C25" i="4"/>
  <c r="C26" s="1"/>
  <c r="C34" s="1"/>
  <c r="D11" i="10"/>
  <c r="D11" i="4"/>
  <c r="C32" i="5"/>
  <c r="D11"/>
  <c r="C38" i="6"/>
  <c r="C12" i="4"/>
  <c r="D11" i="6"/>
  <c r="C35" i="7"/>
  <c r="A81" i="3"/>
  <c r="A82" s="1"/>
  <c r="A83" s="1"/>
  <c r="A84" s="1"/>
  <c r="A85" s="1"/>
  <c r="A86" s="1"/>
  <c r="A87" s="1"/>
  <c r="A88" s="1"/>
  <c r="A89" s="1"/>
  <c r="A90" s="1"/>
  <c r="A91" s="1"/>
  <c r="A92" s="1"/>
  <c r="A93" s="1"/>
  <c r="A94" s="1"/>
  <c r="A95" s="1"/>
  <c r="A96" s="1"/>
  <c r="A97" s="1"/>
  <c r="A98" s="1"/>
  <c r="A99" s="1"/>
  <c r="A101" s="1"/>
  <c r="A102" s="1"/>
  <c r="A103" s="1"/>
  <c r="A104" s="1"/>
  <c r="A105" s="1"/>
  <c r="A106" s="1"/>
  <c r="A108" s="1"/>
  <c r="A109" s="1"/>
  <c r="A111" s="1"/>
  <c r="A112" s="1"/>
  <c r="A113" s="1"/>
  <c r="A114" s="1"/>
  <c r="A115" s="1"/>
  <c r="A116" s="1"/>
  <c r="A117" s="1"/>
  <c r="A118" s="1"/>
  <c r="A119" s="1"/>
  <c r="A120" s="1"/>
  <c r="A121" s="1"/>
  <c r="A122" s="1"/>
  <c r="A123" s="1"/>
  <c r="A124" s="1"/>
  <c r="A125" s="1"/>
  <c r="A126" s="1"/>
  <c r="A127" s="1"/>
  <c r="A128" s="1"/>
  <c r="A129" s="1"/>
  <c r="A130" s="1"/>
  <c r="A131" s="1"/>
  <c r="A133" s="1"/>
  <c r="A134" s="1"/>
  <c r="A135" s="1"/>
  <c r="A136" s="1"/>
  <c r="A137" s="1"/>
  <c r="A138" s="1"/>
  <c r="A139" s="1"/>
  <c r="A141" s="1"/>
  <c r="C54" i="10"/>
  <c r="C29" i="6"/>
  <c r="C30" s="1"/>
  <c r="C31" s="1"/>
  <c r="C32" s="1"/>
  <c r="C34" s="1"/>
  <c r="C52"/>
  <c r="C33" i="5" l="1"/>
  <c r="C34"/>
  <c r="C42" s="1"/>
  <c r="C40" i="10"/>
  <c r="C41"/>
  <c r="C49" s="1"/>
  <c r="C36" i="7"/>
  <c r="C37"/>
  <c r="C45" s="1"/>
  <c r="C40" i="4"/>
  <c r="C41" s="1"/>
  <c r="C43" s="1"/>
  <c r="C35"/>
  <c r="C36" s="1"/>
  <c r="C37" s="1"/>
  <c r="C39" i="6"/>
  <c r="C40"/>
  <c r="C48" s="1"/>
  <c r="C38" i="4"/>
  <c r="C16"/>
  <c r="C17" s="1"/>
  <c r="C18" s="1"/>
  <c r="C19" s="1"/>
  <c r="C21" s="1"/>
  <c r="C39"/>
  <c r="C54" i="6" l="1"/>
  <c r="C55" s="1"/>
  <c r="C57" s="1"/>
  <c r="C49"/>
  <c r="C50" s="1"/>
  <c r="C51" s="1"/>
  <c r="C51" i="7"/>
  <c r="C52" s="1"/>
  <c r="C54" s="1"/>
  <c r="C46"/>
  <c r="C47" s="1"/>
  <c r="C48" s="1"/>
  <c r="C43" i="5"/>
  <c r="C44" s="1"/>
  <c r="C45" s="1"/>
  <c r="C48"/>
  <c r="C49" s="1"/>
  <c r="C51" s="1"/>
  <c r="C50" i="10"/>
  <c r="C51" s="1"/>
  <c r="C52" s="1"/>
  <c r="C55"/>
  <c r="C56" s="1"/>
  <c r="C58" s="1"/>
</calcChain>
</file>

<file path=xl/comments1.xml><?xml version="1.0" encoding="utf-8"?>
<comments xmlns="http://schemas.openxmlformats.org/spreadsheetml/2006/main">
  <authors>
    <author>WILLIAMS COMPANIES, INC.</author>
    <author>Gulfmgh</author>
  </authors>
  <commentList>
    <comment ref="C8" authorId="0">
      <text>
        <r>
          <rPr>
            <b/>
            <sz val="8"/>
            <color indexed="81"/>
            <rFont val="Tahoma"/>
          </rPr>
          <t xml:space="preserve">E = 30,000,000 psi to
E = 29,500,000 psi.  
This program uses
E = 29,500,000 psi for Steel Pipe.
</t>
        </r>
      </text>
    </comment>
    <comment ref="C10" authorId="0">
      <text>
        <r>
          <rPr>
            <b/>
            <sz val="8"/>
            <color indexed="48"/>
            <rFont val="Tahoma"/>
            <family val="2"/>
          </rPr>
          <t xml:space="preserve"> Class             Maximum Allowable     Maximum Allowable 
                        Combined Stress           Combined Stress</t>
        </r>
        <r>
          <rPr>
            <b/>
            <sz val="8"/>
            <color indexed="81"/>
            <rFont val="Tahoma"/>
          </rPr>
          <t xml:space="preserve">
                 </t>
        </r>
        <r>
          <rPr>
            <b/>
            <sz val="8"/>
            <color indexed="10"/>
            <rFont val="Tahoma"/>
            <family val="2"/>
          </rPr>
          <t xml:space="preserve">       (Temporary)                 (Permanent)</t>
        </r>
        <r>
          <rPr>
            <b/>
            <sz val="8"/>
            <color indexed="81"/>
            <rFont val="Tahoma"/>
          </rPr>
          <t xml:space="preserve">          
                        </t>
        </r>
        <r>
          <rPr>
            <b/>
            <sz val="8"/>
            <color indexed="48"/>
            <rFont val="Tahoma"/>
            <family val="2"/>
          </rPr>
          <t>% SMYS                           % SMYS</t>
        </r>
        <r>
          <rPr>
            <b/>
            <sz val="8"/>
            <color indexed="81"/>
            <rFont val="Tahoma"/>
          </rPr>
          <t xml:space="preserve">
</t>
        </r>
        <r>
          <rPr>
            <b/>
            <sz val="8"/>
            <color indexed="48"/>
            <rFont val="Tahoma"/>
            <family val="2"/>
          </rPr>
          <t>ASME B31.G 2003 - 833.4 (b), (c)</t>
        </r>
        <r>
          <rPr>
            <b/>
            <sz val="8"/>
            <color indexed="81"/>
            <rFont val="Tahoma"/>
          </rPr>
          <t xml:space="preserve">
     </t>
        </r>
        <r>
          <rPr>
            <b/>
            <sz val="8"/>
            <color indexed="10"/>
            <rFont val="Tahoma"/>
            <family val="2"/>
          </rPr>
          <t>1</t>
        </r>
        <r>
          <rPr>
            <b/>
            <sz val="8"/>
            <color indexed="81"/>
            <rFont val="Tahoma"/>
          </rPr>
          <t xml:space="preserve">                100%                                90%
     </t>
        </r>
        <r>
          <rPr>
            <b/>
            <sz val="8"/>
            <color indexed="10"/>
            <rFont val="Tahoma"/>
            <family val="2"/>
          </rPr>
          <t>2</t>
        </r>
        <r>
          <rPr>
            <b/>
            <sz val="8"/>
            <color indexed="81"/>
            <rFont val="Tahoma"/>
          </rPr>
          <t xml:space="preserve">                100%                                90%                         
     </t>
        </r>
        <r>
          <rPr>
            <b/>
            <sz val="8"/>
            <color indexed="10"/>
            <rFont val="Tahoma"/>
            <family val="2"/>
          </rPr>
          <t xml:space="preserve">3 </t>
        </r>
        <r>
          <rPr>
            <b/>
            <sz val="8"/>
            <color indexed="81"/>
            <rFont val="Tahoma"/>
          </rPr>
          <t xml:space="preserve">               100%                                90%
     </t>
        </r>
        <r>
          <rPr>
            <b/>
            <sz val="8"/>
            <color indexed="10"/>
            <rFont val="Tahoma"/>
            <family val="2"/>
          </rPr>
          <t>4</t>
        </r>
        <r>
          <rPr>
            <b/>
            <sz val="8"/>
            <color indexed="81"/>
            <rFont val="Tahoma"/>
          </rPr>
          <t xml:space="preserve">                100%                                90%
</t>
        </r>
        <r>
          <rPr>
            <b/>
            <sz val="8"/>
            <color indexed="48"/>
            <rFont val="Tahoma"/>
            <family val="2"/>
          </rPr>
          <t>WILLIAMS - GAS PIPELINE (post 2005)</t>
        </r>
        <r>
          <rPr>
            <b/>
            <sz val="8"/>
            <color indexed="81"/>
            <rFont val="Tahoma"/>
          </rPr>
          <t xml:space="preserve">
     </t>
        </r>
        <r>
          <rPr>
            <b/>
            <sz val="8"/>
            <color indexed="10"/>
            <rFont val="Tahoma"/>
            <family val="2"/>
          </rPr>
          <t>1</t>
        </r>
        <r>
          <rPr>
            <b/>
            <sz val="8"/>
            <color indexed="81"/>
            <rFont val="Tahoma"/>
          </rPr>
          <t xml:space="preserve">                 90%                                 80%
     </t>
        </r>
        <r>
          <rPr>
            <b/>
            <sz val="8"/>
            <color indexed="10"/>
            <rFont val="Tahoma"/>
            <family val="2"/>
          </rPr>
          <t>2</t>
        </r>
        <r>
          <rPr>
            <b/>
            <sz val="8"/>
            <color indexed="81"/>
            <rFont val="Tahoma"/>
          </rPr>
          <t xml:space="preserve">                 90%                                 80%                         
     </t>
        </r>
        <r>
          <rPr>
            <b/>
            <sz val="8"/>
            <color indexed="10"/>
            <rFont val="Tahoma"/>
            <family val="2"/>
          </rPr>
          <t>3</t>
        </r>
        <r>
          <rPr>
            <b/>
            <sz val="8"/>
            <color indexed="81"/>
            <rFont val="Tahoma"/>
          </rPr>
          <t xml:space="preserve">                 90%                                 80%
     </t>
        </r>
        <r>
          <rPr>
            <b/>
            <sz val="8"/>
            <color indexed="10"/>
            <rFont val="Tahoma"/>
            <family val="2"/>
          </rPr>
          <t xml:space="preserve">4 </t>
        </r>
        <r>
          <rPr>
            <b/>
            <sz val="8"/>
            <color indexed="81"/>
            <rFont val="Tahoma"/>
          </rPr>
          <t xml:space="preserve">                90%                                 80%
</t>
        </r>
        <r>
          <rPr>
            <b/>
            <sz val="8"/>
            <color indexed="48"/>
            <rFont val="Tahoma"/>
            <family val="2"/>
          </rPr>
          <t>PRE - ASME B31.G 2003 - 833.4 (b), (c)</t>
        </r>
        <r>
          <rPr>
            <b/>
            <sz val="8"/>
            <color indexed="81"/>
            <rFont val="Tahoma"/>
          </rPr>
          <t xml:space="preserve">
     </t>
        </r>
        <r>
          <rPr>
            <b/>
            <sz val="8"/>
            <color indexed="10"/>
            <rFont val="Tahoma"/>
            <family val="2"/>
          </rPr>
          <t>1</t>
        </r>
        <r>
          <rPr>
            <b/>
            <sz val="8"/>
            <color indexed="81"/>
            <rFont val="Tahoma"/>
          </rPr>
          <t xml:space="preserve">                 80%                                 80%
     </t>
        </r>
        <r>
          <rPr>
            <b/>
            <sz val="8"/>
            <color indexed="10"/>
            <rFont val="Tahoma"/>
            <family val="2"/>
          </rPr>
          <t>2</t>
        </r>
        <r>
          <rPr>
            <b/>
            <sz val="8"/>
            <color indexed="81"/>
            <rFont val="Tahoma"/>
          </rPr>
          <t xml:space="preserve">                 72%                                 72%                         
     </t>
        </r>
        <r>
          <rPr>
            <b/>
            <sz val="8"/>
            <color indexed="10"/>
            <rFont val="Tahoma"/>
            <family val="2"/>
          </rPr>
          <t>3</t>
        </r>
        <r>
          <rPr>
            <b/>
            <sz val="8"/>
            <color indexed="81"/>
            <rFont val="Tahoma"/>
          </rPr>
          <t xml:space="preserve">                 62%                                 62%
     </t>
        </r>
        <r>
          <rPr>
            <b/>
            <sz val="8"/>
            <color indexed="10"/>
            <rFont val="Tahoma"/>
            <family val="2"/>
          </rPr>
          <t>4</t>
        </r>
        <r>
          <rPr>
            <b/>
            <sz val="8"/>
            <color indexed="81"/>
            <rFont val="Tahoma"/>
          </rPr>
          <t xml:space="preserve">                 50%                                 50% </t>
        </r>
      </text>
    </comment>
    <comment ref="C11" authorId="1">
      <text>
        <r>
          <rPr>
            <b/>
            <sz val="8"/>
            <color indexed="12"/>
            <rFont val="Tahoma"/>
            <family val="2"/>
          </rPr>
          <t xml:space="preserve">COMMON EXPLOSIVES
</t>
        </r>
        <r>
          <rPr>
            <b/>
            <sz val="8"/>
            <color indexed="10"/>
            <rFont val="Tahoma"/>
            <family val="2"/>
          </rPr>
          <t xml:space="preserve">
#   </t>
        </r>
        <r>
          <rPr>
            <b/>
            <sz val="8"/>
            <color indexed="48"/>
            <rFont val="Tahoma"/>
            <family val="2"/>
          </rPr>
          <t xml:space="preserve">Explosive Type                         We  (ft-lbf/lbm)     n  </t>
        </r>
        <r>
          <rPr>
            <b/>
            <sz val="8"/>
            <color indexed="81"/>
            <rFont val="Tahoma"/>
            <family val="2"/>
          </rPr>
          <t xml:space="preserve">   </t>
        </r>
        <r>
          <rPr>
            <b/>
            <sz val="8"/>
            <color indexed="10"/>
            <rFont val="Tahoma"/>
            <family val="2"/>
          </rPr>
          <t xml:space="preserve">    
1    </t>
        </r>
        <r>
          <rPr>
            <b/>
            <sz val="8"/>
            <color indexed="81"/>
            <rFont val="Tahoma"/>
            <family val="2"/>
          </rPr>
          <t>ANFO (94/6)                              1.52e+6                   1</t>
        </r>
        <r>
          <rPr>
            <b/>
            <sz val="8"/>
            <color indexed="10"/>
            <rFont val="Tahoma"/>
            <family val="2"/>
          </rPr>
          <t xml:space="preserve">
2    </t>
        </r>
        <r>
          <rPr>
            <b/>
            <sz val="8"/>
            <color indexed="81"/>
            <rFont val="Tahoma"/>
            <family val="2"/>
          </rPr>
          <t>AN Low Density Dynamite     1.50e+6                   0.99</t>
        </r>
        <r>
          <rPr>
            <b/>
            <sz val="8"/>
            <color indexed="10"/>
            <rFont val="Tahoma"/>
            <family val="2"/>
          </rPr>
          <t xml:space="preserve">
3    </t>
        </r>
        <r>
          <rPr>
            <b/>
            <sz val="8"/>
            <color indexed="81"/>
            <rFont val="Tahoma"/>
            <family val="2"/>
          </rPr>
          <t>Comp B (60/40)                       1.70e+6                   1.12</t>
        </r>
        <r>
          <rPr>
            <b/>
            <sz val="8"/>
            <color indexed="10"/>
            <rFont val="Tahoma"/>
            <family val="2"/>
          </rPr>
          <t xml:space="preserve">
4    </t>
        </r>
        <r>
          <rPr>
            <b/>
            <sz val="8"/>
            <color indexed="81"/>
            <rFont val="Tahoma"/>
            <family val="2"/>
          </rPr>
          <t>Comp C-4                                   1.70e+6                   1.12</t>
        </r>
        <r>
          <rPr>
            <b/>
            <sz val="8"/>
            <color indexed="10"/>
            <rFont val="Tahoma"/>
            <family val="2"/>
          </rPr>
          <t xml:space="preserve">
5    </t>
        </r>
        <r>
          <rPr>
            <b/>
            <sz val="8"/>
            <color indexed="81"/>
            <rFont val="Tahoma"/>
            <family val="2"/>
          </rPr>
          <t>HBX - 1                                        1.30e+6                   0.83</t>
        </r>
        <r>
          <rPr>
            <b/>
            <sz val="8"/>
            <color indexed="10"/>
            <rFont val="Tahoma"/>
            <family val="2"/>
          </rPr>
          <t xml:space="preserve">
6    </t>
        </r>
        <r>
          <rPr>
            <b/>
            <sz val="8"/>
            <color indexed="81"/>
            <rFont val="Tahoma"/>
            <family val="2"/>
          </rPr>
          <t>NG Dynamite (40%)                1.59e+6                  1.05</t>
        </r>
        <r>
          <rPr>
            <b/>
            <sz val="8"/>
            <color indexed="10"/>
            <rFont val="Tahoma"/>
            <family val="2"/>
          </rPr>
          <t xml:space="preserve">
7    </t>
        </r>
        <r>
          <rPr>
            <b/>
            <sz val="8"/>
            <color indexed="81"/>
            <rFont val="Tahoma"/>
            <family val="2"/>
          </rPr>
          <t>NG Dynamite (60%)                1.70e+6                  1.12</t>
        </r>
        <r>
          <rPr>
            <b/>
            <sz val="8"/>
            <color indexed="10"/>
            <rFont val="Tahoma"/>
            <family val="2"/>
          </rPr>
          <t xml:space="preserve">
8    </t>
        </r>
        <r>
          <rPr>
            <b/>
            <sz val="8"/>
            <color indexed="81"/>
            <rFont val="Tahoma"/>
            <family val="2"/>
          </rPr>
          <t>Pentolite (50/50)                     1.68e+6                  1.11</t>
        </r>
        <r>
          <rPr>
            <b/>
            <sz val="8"/>
            <color indexed="10"/>
            <rFont val="Tahoma"/>
            <family val="2"/>
          </rPr>
          <t xml:space="preserve">
9    </t>
        </r>
        <r>
          <rPr>
            <b/>
            <sz val="8"/>
            <color indexed="81"/>
            <rFont val="Tahoma"/>
            <family val="2"/>
          </rPr>
          <t>RDX                                              1.76e+6                  1.16</t>
        </r>
        <r>
          <rPr>
            <b/>
            <sz val="8"/>
            <color indexed="10"/>
            <rFont val="Tahoma"/>
            <family val="2"/>
          </rPr>
          <t xml:space="preserve">
10</t>
        </r>
        <r>
          <rPr>
            <b/>
            <sz val="8"/>
            <color indexed="81"/>
            <rFont val="Tahoma"/>
          </rPr>
          <t xml:space="preserve">  TNT                                               1.49e+6                  0.98
</t>
        </r>
        <r>
          <rPr>
            <b/>
            <sz val="8"/>
            <color indexed="10"/>
            <rFont val="Tahoma"/>
            <family val="2"/>
          </rPr>
          <t>11</t>
        </r>
        <r>
          <rPr>
            <b/>
            <sz val="8"/>
            <color indexed="81"/>
            <rFont val="Tahoma"/>
          </rPr>
          <t xml:space="preserve">  PowerDitch 1000                      1.79e+6                  1.18
</t>
        </r>
        <r>
          <rPr>
            <b/>
            <sz val="8"/>
            <color indexed="10"/>
            <rFont val="Tahoma"/>
            <family val="2"/>
          </rPr>
          <t>12</t>
        </r>
        <r>
          <rPr>
            <b/>
            <sz val="8"/>
            <color indexed="81"/>
            <rFont val="Tahoma"/>
          </rPr>
          <t xml:space="preserve">  Petrogel                                      1.62E+6                  1.08
</t>
        </r>
        <r>
          <rPr>
            <b/>
            <sz val="8"/>
            <color indexed="10"/>
            <rFont val="Tahoma"/>
            <family val="2"/>
          </rPr>
          <t>13</t>
        </r>
        <r>
          <rPr>
            <b/>
            <sz val="8"/>
            <color indexed="81"/>
            <rFont val="Tahoma"/>
          </rPr>
          <t xml:space="preserve">  Powergel D                                 1.46E+6                  0.97
</t>
        </r>
        <r>
          <rPr>
            <b/>
            <sz val="8"/>
            <color indexed="10"/>
            <rFont val="Tahoma"/>
            <family val="2"/>
          </rPr>
          <t>14</t>
        </r>
        <r>
          <rPr>
            <b/>
            <sz val="8"/>
            <color indexed="81"/>
            <rFont val="Tahoma"/>
          </rPr>
          <t xml:space="preserve">  Unigel                                          1.72E+6                  1.14
</t>
        </r>
        <r>
          <rPr>
            <b/>
            <sz val="8"/>
            <color indexed="10"/>
            <rFont val="Tahoma"/>
            <family val="2"/>
          </rPr>
          <t>15</t>
        </r>
        <r>
          <rPr>
            <b/>
            <sz val="8"/>
            <color indexed="81"/>
            <rFont val="Tahoma"/>
          </rPr>
          <t xml:space="preserve">  ML - 400 Slurry                          1.50E+6                  1.00
</t>
        </r>
        <r>
          <rPr>
            <b/>
            <sz val="8"/>
            <color indexed="10"/>
            <rFont val="Tahoma"/>
            <family val="2"/>
          </rPr>
          <t>16</t>
        </r>
        <r>
          <rPr>
            <b/>
            <sz val="8"/>
            <color indexed="81"/>
            <rFont val="Tahoma"/>
          </rPr>
          <t xml:space="preserve">  Supergel                                      2.03E+6                  1.35
</t>
        </r>
        <r>
          <rPr>
            <b/>
            <sz val="8"/>
            <color indexed="10"/>
            <rFont val="Tahoma"/>
            <family val="2"/>
          </rPr>
          <t>**For More, See "</t>
        </r>
        <r>
          <rPr>
            <b/>
            <sz val="8"/>
            <color indexed="81"/>
            <rFont val="Tahoma"/>
            <family val="2"/>
          </rPr>
          <t>Data Charts</t>
        </r>
        <r>
          <rPr>
            <b/>
            <sz val="8"/>
            <color indexed="10"/>
            <rFont val="Tahoma"/>
            <family val="2"/>
          </rPr>
          <t>" tab
***Estimations Using the Data Above Are Usually 
       Sufficient</t>
        </r>
      </text>
    </comment>
    <comment ref="C25" authorId="1">
      <text>
        <r>
          <rPr>
            <b/>
            <sz val="8"/>
            <color indexed="12"/>
            <rFont val="Tahoma"/>
            <family val="2"/>
          </rPr>
          <t xml:space="preserve">COMMON EXPLOSIVES
</t>
        </r>
        <r>
          <rPr>
            <b/>
            <sz val="8"/>
            <color indexed="10"/>
            <rFont val="Tahoma"/>
            <family val="2"/>
          </rPr>
          <t xml:space="preserve">
#   </t>
        </r>
        <r>
          <rPr>
            <b/>
            <sz val="8"/>
            <color indexed="48"/>
            <rFont val="Tahoma"/>
            <family val="2"/>
          </rPr>
          <t xml:space="preserve">Explosive Type                         We  (ft-lbf/lbm)     n  </t>
        </r>
        <r>
          <rPr>
            <b/>
            <sz val="8"/>
            <color indexed="81"/>
            <rFont val="Tahoma"/>
            <family val="2"/>
          </rPr>
          <t xml:space="preserve">   </t>
        </r>
        <r>
          <rPr>
            <b/>
            <sz val="8"/>
            <color indexed="10"/>
            <rFont val="Tahoma"/>
            <family val="2"/>
          </rPr>
          <t xml:space="preserve">    
1    </t>
        </r>
        <r>
          <rPr>
            <b/>
            <sz val="8"/>
            <color indexed="81"/>
            <rFont val="Tahoma"/>
            <family val="2"/>
          </rPr>
          <t>ANFO (94/6)                              1.52e+6                   1</t>
        </r>
        <r>
          <rPr>
            <b/>
            <sz val="8"/>
            <color indexed="10"/>
            <rFont val="Tahoma"/>
            <family val="2"/>
          </rPr>
          <t xml:space="preserve">
2    </t>
        </r>
        <r>
          <rPr>
            <b/>
            <sz val="8"/>
            <color indexed="81"/>
            <rFont val="Tahoma"/>
            <family val="2"/>
          </rPr>
          <t>AN Low Density Dynamite     1.50e+6                   0.99</t>
        </r>
        <r>
          <rPr>
            <b/>
            <sz val="8"/>
            <color indexed="10"/>
            <rFont val="Tahoma"/>
            <family val="2"/>
          </rPr>
          <t xml:space="preserve">
3    </t>
        </r>
        <r>
          <rPr>
            <b/>
            <sz val="8"/>
            <color indexed="81"/>
            <rFont val="Tahoma"/>
            <family val="2"/>
          </rPr>
          <t>Comp B (60/40)                       1.70e+6                   1.12</t>
        </r>
        <r>
          <rPr>
            <b/>
            <sz val="8"/>
            <color indexed="10"/>
            <rFont val="Tahoma"/>
            <family val="2"/>
          </rPr>
          <t xml:space="preserve">
4    </t>
        </r>
        <r>
          <rPr>
            <b/>
            <sz val="8"/>
            <color indexed="81"/>
            <rFont val="Tahoma"/>
            <family val="2"/>
          </rPr>
          <t>Comp C-4                                   1.70e+6                   1.12</t>
        </r>
        <r>
          <rPr>
            <b/>
            <sz val="8"/>
            <color indexed="10"/>
            <rFont val="Tahoma"/>
            <family val="2"/>
          </rPr>
          <t xml:space="preserve">
5    </t>
        </r>
        <r>
          <rPr>
            <b/>
            <sz val="8"/>
            <color indexed="81"/>
            <rFont val="Tahoma"/>
            <family val="2"/>
          </rPr>
          <t>HBX - 1                                        1.30e+6                   0.83</t>
        </r>
        <r>
          <rPr>
            <b/>
            <sz val="8"/>
            <color indexed="10"/>
            <rFont val="Tahoma"/>
            <family val="2"/>
          </rPr>
          <t xml:space="preserve">
6    </t>
        </r>
        <r>
          <rPr>
            <b/>
            <sz val="8"/>
            <color indexed="81"/>
            <rFont val="Tahoma"/>
            <family val="2"/>
          </rPr>
          <t>NG Dynamite (40%)                1.59e+6                  1.05</t>
        </r>
        <r>
          <rPr>
            <b/>
            <sz val="8"/>
            <color indexed="10"/>
            <rFont val="Tahoma"/>
            <family val="2"/>
          </rPr>
          <t xml:space="preserve">
7    </t>
        </r>
        <r>
          <rPr>
            <b/>
            <sz val="8"/>
            <color indexed="81"/>
            <rFont val="Tahoma"/>
            <family val="2"/>
          </rPr>
          <t>NG Dynamite (60%)                1.70e+6                  1.12</t>
        </r>
        <r>
          <rPr>
            <b/>
            <sz val="8"/>
            <color indexed="10"/>
            <rFont val="Tahoma"/>
            <family val="2"/>
          </rPr>
          <t xml:space="preserve">
8    </t>
        </r>
        <r>
          <rPr>
            <b/>
            <sz val="8"/>
            <color indexed="81"/>
            <rFont val="Tahoma"/>
            <family val="2"/>
          </rPr>
          <t>Pentolite (50/50)                     1.68e+6                  1.11</t>
        </r>
        <r>
          <rPr>
            <b/>
            <sz val="8"/>
            <color indexed="10"/>
            <rFont val="Tahoma"/>
            <family val="2"/>
          </rPr>
          <t xml:space="preserve">
9    </t>
        </r>
        <r>
          <rPr>
            <b/>
            <sz val="8"/>
            <color indexed="81"/>
            <rFont val="Tahoma"/>
            <family val="2"/>
          </rPr>
          <t>RDX                                              1.76e+6                  1.16</t>
        </r>
        <r>
          <rPr>
            <b/>
            <sz val="8"/>
            <color indexed="10"/>
            <rFont val="Tahoma"/>
            <family val="2"/>
          </rPr>
          <t xml:space="preserve">
10</t>
        </r>
        <r>
          <rPr>
            <b/>
            <sz val="8"/>
            <color indexed="81"/>
            <rFont val="Tahoma"/>
          </rPr>
          <t xml:space="preserve">  TNT                                               1.49e+6                  0.98
</t>
        </r>
        <r>
          <rPr>
            <b/>
            <sz val="8"/>
            <color indexed="10"/>
            <rFont val="Tahoma"/>
            <family val="2"/>
          </rPr>
          <t>11</t>
        </r>
        <r>
          <rPr>
            <b/>
            <sz val="8"/>
            <color indexed="81"/>
            <rFont val="Tahoma"/>
          </rPr>
          <t xml:space="preserve">  PowerDitch 1000                      1.79e+6                  1.18
</t>
        </r>
        <r>
          <rPr>
            <b/>
            <sz val="8"/>
            <color indexed="10"/>
            <rFont val="Tahoma"/>
            <family val="2"/>
          </rPr>
          <t>12</t>
        </r>
        <r>
          <rPr>
            <b/>
            <sz val="8"/>
            <color indexed="81"/>
            <rFont val="Tahoma"/>
          </rPr>
          <t xml:space="preserve">  Petrogel                                      1.62E+6                  1.08
</t>
        </r>
        <r>
          <rPr>
            <b/>
            <sz val="8"/>
            <color indexed="10"/>
            <rFont val="Tahoma"/>
            <family val="2"/>
          </rPr>
          <t>13</t>
        </r>
        <r>
          <rPr>
            <b/>
            <sz val="8"/>
            <color indexed="81"/>
            <rFont val="Tahoma"/>
          </rPr>
          <t xml:space="preserve">  Powergel D                                 1.46E+6                  0.97
</t>
        </r>
        <r>
          <rPr>
            <b/>
            <sz val="8"/>
            <color indexed="10"/>
            <rFont val="Tahoma"/>
            <family val="2"/>
          </rPr>
          <t>14</t>
        </r>
        <r>
          <rPr>
            <b/>
            <sz val="8"/>
            <color indexed="81"/>
            <rFont val="Tahoma"/>
          </rPr>
          <t xml:space="preserve">  Unigel                                          1.72E+6                  1.14
</t>
        </r>
        <r>
          <rPr>
            <b/>
            <sz val="8"/>
            <color indexed="10"/>
            <rFont val="Tahoma"/>
            <family val="2"/>
          </rPr>
          <t>15</t>
        </r>
        <r>
          <rPr>
            <b/>
            <sz val="8"/>
            <color indexed="81"/>
            <rFont val="Tahoma"/>
          </rPr>
          <t xml:space="preserve">  ML - 400 Slurry                          1.50E+6                  1.00
</t>
        </r>
        <r>
          <rPr>
            <b/>
            <sz val="8"/>
            <color indexed="10"/>
            <rFont val="Tahoma"/>
            <family val="2"/>
          </rPr>
          <t>16</t>
        </r>
        <r>
          <rPr>
            <b/>
            <sz val="8"/>
            <color indexed="81"/>
            <rFont val="Tahoma"/>
          </rPr>
          <t xml:space="preserve">  Supergel                                      2.03E+6                  1.35
</t>
        </r>
        <r>
          <rPr>
            <b/>
            <sz val="8"/>
            <color indexed="10"/>
            <rFont val="Tahoma"/>
            <family val="2"/>
          </rPr>
          <t>**For More, See "</t>
        </r>
        <r>
          <rPr>
            <b/>
            <sz val="8"/>
            <color indexed="81"/>
            <rFont val="Tahoma"/>
            <family val="2"/>
          </rPr>
          <t>Data Charts</t>
        </r>
        <r>
          <rPr>
            <b/>
            <sz val="8"/>
            <color indexed="10"/>
            <rFont val="Tahoma"/>
            <family val="2"/>
          </rPr>
          <t>" tab
***Estimations Using the Data Above Are Usually 
       Sufficient</t>
        </r>
      </text>
    </comment>
    <comment ref="C27" authorId="1">
      <text>
        <r>
          <rPr>
            <b/>
            <sz val="8"/>
            <color indexed="48"/>
            <rFont val="Tahoma"/>
            <family val="2"/>
          </rPr>
          <t xml:space="preserve">Soil Type                                                                     Density (lb/ft^3)
</t>
        </r>
        <r>
          <rPr>
            <b/>
            <sz val="8"/>
            <color indexed="81"/>
            <rFont val="Tahoma"/>
            <family val="2"/>
          </rPr>
          <t xml:space="preserve">Granular Materials without Cohesion                            90-100               
Sand &amp; Gravel                                                                   110-120
Saturated Top Soil                                                           110-120
Clay                                                                                      110-120
Saturated Clay                                                                  120-130
Rock (Granite, Marble, Quartz)                                     165-180
Rock (Limestone, Sandstone)                                       125-180
Medium Dense Sand                                                         120-130
Dense Sand                                                                         120-130
Igneous Basalt                                                                   170-190
Lightweight Concrete                                                         70-115
Plain Concrete                                                                    140-160
Reinforced Concrete                                                         140-160
</t>
        </r>
        <r>
          <rPr>
            <b/>
            <sz val="8"/>
            <color indexed="10"/>
            <rFont val="Tahoma"/>
            <family val="2"/>
          </rPr>
          <t>** These assumptions are based primarily on how homogeneous the earth material is.  There may be more or less rock per square foot than another section of the blasting grid - contributing to a non-homogeneous dispersion of dirt and rock properties.  Depending on how dense the material is, the seismic waves may travel faster or slower.  The predicted values are based on general densities of surrounding dirt and rock.  For a more accurate density, conduct a ground survey.</t>
        </r>
      </text>
    </comment>
    <comment ref="C29" authorId="1">
      <text>
        <r>
          <rPr>
            <b/>
            <sz val="8"/>
            <color indexed="48"/>
            <rFont val="Tahoma"/>
            <family val="2"/>
          </rPr>
          <t xml:space="preserve">Soil Type                                                                    P-Wave Velocity
                                                                                           ( ft/sec )
</t>
        </r>
        <r>
          <rPr>
            <b/>
            <sz val="8"/>
            <color indexed="10"/>
            <rFont val="Tahoma"/>
            <family val="2"/>
          </rPr>
          <t>**Rough Estimated Guesses
**Use a Seismic P-Wave Calculation if Needed</t>
        </r>
        <r>
          <rPr>
            <b/>
            <sz val="8"/>
            <color indexed="48"/>
            <rFont val="Tahoma"/>
            <family val="2"/>
          </rPr>
          <t xml:space="preserve">
</t>
        </r>
        <r>
          <rPr>
            <b/>
            <sz val="8"/>
            <color indexed="81"/>
            <rFont val="Tahoma"/>
            <family val="2"/>
          </rPr>
          <t xml:space="preserve">Granular Materials without Cohesion                          100-500            
Sand &amp; Gravel                                                                    100-500
Saturated Top Soil                                                            100-500
Clay                                                                                       100-500
Saturated Clay                                                                   100-500
Rock (Granite, Marble, Quartz)                                 2000-5000
Rock (Limestone, Sandstone)                                   2000-5000
Medium Dense Sand                                                         100-500
Dense Sand                                                                         100-500
Igneous Basalt                                                               2000-5000
Lightweight Concrete                                                   2000-4000
Plain Concrete                                                                2000-5000
Reinforced Concrete                                                     2000-5000
15-25 ms for hard rock                                                        13,000
20-50 ms for softer rock                                                        9,800
35-75 ms for weak rock                                                         6,600
</t>
        </r>
        <r>
          <rPr>
            <b/>
            <sz val="8"/>
            <color indexed="10"/>
            <rFont val="Tahoma"/>
            <family val="2"/>
          </rPr>
          <t>*** These assumptions are based primarily on how homogeneous the earth material is.  There may be more or less rock per square foot than another section of the blasting grid - contributing to a non-homogeneous dispersion of dirt and rock properties.  Depending on how dense the material is, the seismic waves may travel faster or slower.  The predicted values are based on general velocities of surrounding dirt and rock.  For a more accurate measurement, conduct a seismic survey.</t>
        </r>
      </text>
    </comment>
    <comment ref="C31" authorId="1">
      <text>
        <r>
          <rPr>
            <b/>
            <sz val="8"/>
            <color indexed="48"/>
            <rFont val="Tahoma"/>
            <family val="2"/>
          </rPr>
          <t>P = 14.54*((55096-(Elevation-361))/(55096-(Elevation+361))</t>
        </r>
        <r>
          <rPr>
            <sz val="8"/>
            <color indexed="81"/>
            <rFont val="Tahoma"/>
          </rPr>
          <t xml:space="preserve">
</t>
        </r>
        <r>
          <rPr>
            <b/>
            <sz val="8"/>
            <color indexed="10"/>
            <rFont val="Tahoma"/>
            <family val="2"/>
          </rPr>
          <t>AGA Report No. 3 "Orifice Metering of Natural Gas", Part 3, page 23</t>
        </r>
      </text>
    </comment>
  </commentList>
</comments>
</file>

<file path=xl/comments2.xml><?xml version="1.0" encoding="utf-8"?>
<comments xmlns="http://schemas.openxmlformats.org/spreadsheetml/2006/main">
  <authors>
    <author>WILLIAMS COMPANIES, INC.</author>
    <author>Gulfmgh</author>
  </authors>
  <commentList>
    <comment ref="C8" authorId="0">
      <text>
        <r>
          <rPr>
            <b/>
            <sz val="8"/>
            <color indexed="81"/>
            <rFont val="Tahoma"/>
          </rPr>
          <t xml:space="preserve">E = 30,000,000 psi to
E = 29,500,000 psi.  
This program uses
E = 29,500,000 psi for Steel Pipe.
</t>
        </r>
      </text>
    </comment>
    <comment ref="C10" authorId="0">
      <text>
        <r>
          <rPr>
            <b/>
            <sz val="8"/>
            <color indexed="48"/>
            <rFont val="Tahoma"/>
            <family val="2"/>
          </rPr>
          <t xml:space="preserve"> Class             Maximum Allowable     Maximum Allowable 
                        Combined Stress           Combined Stress</t>
        </r>
        <r>
          <rPr>
            <b/>
            <sz val="8"/>
            <color indexed="81"/>
            <rFont val="Tahoma"/>
          </rPr>
          <t xml:space="preserve">
                 </t>
        </r>
        <r>
          <rPr>
            <b/>
            <sz val="8"/>
            <color indexed="10"/>
            <rFont val="Tahoma"/>
            <family val="2"/>
          </rPr>
          <t xml:space="preserve">       (Temporary)                 (Permanent)</t>
        </r>
        <r>
          <rPr>
            <b/>
            <sz val="8"/>
            <color indexed="81"/>
            <rFont val="Tahoma"/>
          </rPr>
          <t xml:space="preserve">          
                        </t>
        </r>
        <r>
          <rPr>
            <b/>
            <sz val="8"/>
            <color indexed="48"/>
            <rFont val="Tahoma"/>
            <family val="2"/>
          </rPr>
          <t>% SMYS                           % SMYS</t>
        </r>
        <r>
          <rPr>
            <b/>
            <sz val="8"/>
            <color indexed="81"/>
            <rFont val="Tahoma"/>
          </rPr>
          <t xml:space="preserve">
</t>
        </r>
        <r>
          <rPr>
            <b/>
            <sz val="8"/>
            <color indexed="48"/>
            <rFont val="Tahoma"/>
            <family val="2"/>
          </rPr>
          <t>ASME B31.G 2003 - 833.4 (b), (c)</t>
        </r>
        <r>
          <rPr>
            <b/>
            <sz val="8"/>
            <color indexed="81"/>
            <rFont val="Tahoma"/>
          </rPr>
          <t xml:space="preserve">
    </t>
        </r>
        <r>
          <rPr>
            <b/>
            <sz val="8"/>
            <color indexed="10"/>
            <rFont val="Tahoma"/>
            <family val="2"/>
          </rPr>
          <t>1</t>
        </r>
        <r>
          <rPr>
            <b/>
            <sz val="8"/>
            <color indexed="81"/>
            <rFont val="Tahoma"/>
          </rPr>
          <t xml:space="preserve">                  100%                               90%
    </t>
        </r>
        <r>
          <rPr>
            <b/>
            <sz val="8"/>
            <color indexed="10"/>
            <rFont val="Tahoma"/>
            <family val="2"/>
          </rPr>
          <t>2</t>
        </r>
        <r>
          <rPr>
            <b/>
            <sz val="8"/>
            <color indexed="81"/>
            <rFont val="Tahoma"/>
          </rPr>
          <t xml:space="preserve">                  100%                               90%                         
    </t>
        </r>
        <r>
          <rPr>
            <b/>
            <sz val="8"/>
            <color indexed="10"/>
            <rFont val="Tahoma"/>
            <family val="2"/>
          </rPr>
          <t xml:space="preserve">3 </t>
        </r>
        <r>
          <rPr>
            <b/>
            <sz val="8"/>
            <color indexed="81"/>
            <rFont val="Tahoma"/>
          </rPr>
          <t xml:space="preserve">                 100%                               90%
    </t>
        </r>
        <r>
          <rPr>
            <b/>
            <sz val="8"/>
            <color indexed="10"/>
            <rFont val="Tahoma"/>
            <family val="2"/>
          </rPr>
          <t>4</t>
        </r>
        <r>
          <rPr>
            <b/>
            <sz val="8"/>
            <color indexed="81"/>
            <rFont val="Tahoma"/>
          </rPr>
          <t xml:space="preserve">                  100%                               90%
</t>
        </r>
        <r>
          <rPr>
            <b/>
            <sz val="8"/>
            <color indexed="48"/>
            <rFont val="Tahoma"/>
            <family val="2"/>
          </rPr>
          <t>WILLIAMS - GAS PIPELINE (post 2005)</t>
        </r>
        <r>
          <rPr>
            <b/>
            <sz val="8"/>
            <color indexed="81"/>
            <rFont val="Tahoma"/>
          </rPr>
          <t xml:space="preserve">
     </t>
        </r>
        <r>
          <rPr>
            <b/>
            <sz val="8"/>
            <color indexed="10"/>
            <rFont val="Tahoma"/>
            <family val="2"/>
          </rPr>
          <t>1</t>
        </r>
        <r>
          <rPr>
            <b/>
            <sz val="8"/>
            <color indexed="81"/>
            <rFont val="Tahoma"/>
          </rPr>
          <t xml:space="preserve">                 90%                                 80%
     </t>
        </r>
        <r>
          <rPr>
            <b/>
            <sz val="8"/>
            <color indexed="10"/>
            <rFont val="Tahoma"/>
            <family val="2"/>
          </rPr>
          <t>2</t>
        </r>
        <r>
          <rPr>
            <b/>
            <sz val="8"/>
            <color indexed="81"/>
            <rFont val="Tahoma"/>
          </rPr>
          <t xml:space="preserve">                 90%                                 80%                         
     </t>
        </r>
        <r>
          <rPr>
            <b/>
            <sz val="8"/>
            <color indexed="10"/>
            <rFont val="Tahoma"/>
            <family val="2"/>
          </rPr>
          <t>3</t>
        </r>
        <r>
          <rPr>
            <b/>
            <sz val="8"/>
            <color indexed="81"/>
            <rFont val="Tahoma"/>
          </rPr>
          <t xml:space="preserve">                 90%                                 80%
     </t>
        </r>
        <r>
          <rPr>
            <b/>
            <sz val="8"/>
            <color indexed="10"/>
            <rFont val="Tahoma"/>
            <family val="2"/>
          </rPr>
          <t xml:space="preserve">4 </t>
        </r>
        <r>
          <rPr>
            <b/>
            <sz val="8"/>
            <color indexed="81"/>
            <rFont val="Tahoma"/>
          </rPr>
          <t xml:space="preserve">                90%                                 80%
</t>
        </r>
        <r>
          <rPr>
            <b/>
            <sz val="8"/>
            <color indexed="48"/>
            <rFont val="Tahoma"/>
            <family val="2"/>
          </rPr>
          <t>PRE - ASME B31.G 2003 - 833.4 (b), (c)</t>
        </r>
        <r>
          <rPr>
            <b/>
            <sz val="8"/>
            <color indexed="81"/>
            <rFont val="Tahoma"/>
          </rPr>
          <t xml:space="preserve">
     </t>
        </r>
        <r>
          <rPr>
            <b/>
            <sz val="8"/>
            <color indexed="10"/>
            <rFont val="Tahoma"/>
            <family val="2"/>
          </rPr>
          <t>1</t>
        </r>
        <r>
          <rPr>
            <b/>
            <sz val="8"/>
            <color indexed="81"/>
            <rFont val="Tahoma"/>
          </rPr>
          <t xml:space="preserve">                 80%                                 80%
     </t>
        </r>
        <r>
          <rPr>
            <b/>
            <sz val="8"/>
            <color indexed="10"/>
            <rFont val="Tahoma"/>
            <family val="2"/>
          </rPr>
          <t>2</t>
        </r>
        <r>
          <rPr>
            <b/>
            <sz val="8"/>
            <color indexed="81"/>
            <rFont val="Tahoma"/>
          </rPr>
          <t xml:space="preserve">                 72%                                 72%                         
     </t>
        </r>
        <r>
          <rPr>
            <b/>
            <sz val="8"/>
            <color indexed="10"/>
            <rFont val="Tahoma"/>
            <family val="2"/>
          </rPr>
          <t>3</t>
        </r>
        <r>
          <rPr>
            <b/>
            <sz val="8"/>
            <color indexed="81"/>
            <rFont val="Tahoma"/>
          </rPr>
          <t xml:space="preserve">                 62%                                 62%
     </t>
        </r>
        <r>
          <rPr>
            <b/>
            <sz val="8"/>
            <color indexed="10"/>
            <rFont val="Tahoma"/>
            <family val="2"/>
          </rPr>
          <t>4</t>
        </r>
        <r>
          <rPr>
            <b/>
            <sz val="8"/>
            <color indexed="81"/>
            <rFont val="Tahoma"/>
          </rPr>
          <t xml:space="preserve">                 50%                                 50% </t>
        </r>
      </text>
    </comment>
    <comment ref="C11" authorId="1">
      <text>
        <r>
          <rPr>
            <b/>
            <sz val="8"/>
            <color indexed="12"/>
            <rFont val="Tahoma"/>
            <family val="2"/>
          </rPr>
          <t xml:space="preserve">COMMON EXPLOSIVES
</t>
        </r>
        <r>
          <rPr>
            <b/>
            <sz val="8"/>
            <color indexed="10"/>
            <rFont val="Tahoma"/>
            <family val="2"/>
          </rPr>
          <t xml:space="preserve">
#   </t>
        </r>
        <r>
          <rPr>
            <b/>
            <sz val="8"/>
            <color indexed="48"/>
            <rFont val="Tahoma"/>
            <family val="2"/>
          </rPr>
          <t xml:space="preserve">Explosive Type                         We  (ft-lbf/lbm)     n  </t>
        </r>
        <r>
          <rPr>
            <b/>
            <sz val="8"/>
            <color indexed="81"/>
            <rFont val="Tahoma"/>
            <family val="2"/>
          </rPr>
          <t xml:space="preserve">   </t>
        </r>
        <r>
          <rPr>
            <b/>
            <sz val="8"/>
            <color indexed="10"/>
            <rFont val="Tahoma"/>
            <family val="2"/>
          </rPr>
          <t xml:space="preserve">    
1    </t>
        </r>
        <r>
          <rPr>
            <b/>
            <sz val="8"/>
            <color indexed="81"/>
            <rFont val="Tahoma"/>
            <family val="2"/>
          </rPr>
          <t>ANFO (94/6)                              1.52e+6                   1</t>
        </r>
        <r>
          <rPr>
            <b/>
            <sz val="8"/>
            <color indexed="10"/>
            <rFont val="Tahoma"/>
            <family val="2"/>
          </rPr>
          <t xml:space="preserve">
2    </t>
        </r>
        <r>
          <rPr>
            <b/>
            <sz val="8"/>
            <color indexed="81"/>
            <rFont val="Tahoma"/>
            <family val="2"/>
          </rPr>
          <t>AN Low Density Dynamite     1.50e+6                   0.99</t>
        </r>
        <r>
          <rPr>
            <b/>
            <sz val="8"/>
            <color indexed="10"/>
            <rFont val="Tahoma"/>
            <family val="2"/>
          </rPr>
          <t xml:space="preserve">
3    </t>
        </r>
        <r>
          <rPr>
            <b/>
            <sz val="8"/>
            <color indexed="81"/>
            <rFont val="Tahoma"/>
            <family val="2"/>
          </rPr>
          <t>Comp B (60/40)                       1.70e+6                   1.12</t>
        </r>
        <r>
          <rPr>
            <b/>
            <sz val="8"/>
            <color indexed="10"/>
            <rFont val="Tahoma"/>
            <family val="2"/>
          </rPr>
          <t xml:space="preserve">
4    </t>
        </r>
        <r>
          <rPr>
            <b/>
            <sz val="8"/>
            <color indexed="81"/>
            <rFont val="Tahoma"/>
            <family val="2"/>
          </rPr>
          <t>Comp C-4                                   1.70e+6                   1.12</t>
        </r>
        <r>
          <rPr>
            <b/>
            <sz val="8"/>
            <color indexed="10"/>
            <rFont val="Tahoma"/>
            <family val="2"/>
          </rPr>
          <t xml:space="preserve">
5    </t>
        </r>
        <r>
          <rPr>
            <b/>
            <sz val="8"/>
            <color indexed="81"/>
            <rFont val="Tahoma"/>
            <family val="2"/>
          </rPr>
          <t>HBX - 1                                        1.30e+6                   0.83</t>
        </r>
        <r>
          <rPr>
            <b/>
            <sz val="8"/>
            <color indexed="10"/>
            <rFont val="Tahoma"/>
            <family val="2"/>
          </rPr>
          <t xml:space="preserve">
6    </t>
        </r>
        <r>
          <rPr>
            <b/>
            <sz val="8"/>
            <color indexed="81"/>
            <rFont val="Tahoma"/>
            <family val="2"/>
          </rPr>
          <t>NG Dynamite (40%)                1.59e+6                  1.05</t>
        </r>
        <r>
          <rPr>
            <b/>
            <sz val="8"/>
            <color indexed="10"/>
            <rFont val="Tahoma"/>
            <family val="2"/>
          </rPr>
          <t xml:space="preserve">
7    </t>
        </r>
        <r>
          <rPr>
            <b/>
            <sz val="8"/>
            <color indexed="81"/>
            <rFont val="Tahoma"/>
            <family val="2"/>
          </rPr>
          <t>NG Dynamite (60%)                1.70e+6                  1.12</t>
        </r>
        <r>
          <rPr>
            <b/>
            <sz val="8"/>
            <color indexed="10"/>
            <rFont val="Tahoma"/>
            <family val="2"/>
          </rPr>
          <t xml:space="preserve">
8    </t>
        </r>
        <r>
          <rPr>
            <b/>
            <sz val="8"/>
            <color indexed="81"/>
            <rFont val="Tahoma"/>
            <family val="2"/>
          </rPr>
          <t>Pentolite (50/50)                     1.68e+6                  1.11</t>
        </r>
        <r>
          <rPr>
            <b/>
            <sz val="8"/>
            <color indexed="10"/>
            <rFont val="Tahoma"/>
            <family val="2"/>
          </rPr>
          <t xml:space="preserve">
9    </t>
        </r>
        <r>
          <rPr>
            <b/>
            <sz val="8"/>
            <color indexed="81"/>
            <rFont val="Tahoma"/>
            <family val="2"/>
          </rPr>
          <t>RDX                                              1.76e+6                  1.16</t>
        </r>
        <r>
          <rPr>
            <b/>
            <sz val="8"/>
            <color indexed="10"/>
            <rFont val="Tahoma"/>
            <family val="2"/>
          </rPr>
          <t xml:space="preserve">
10</t>
        </r>
        <r>
          <rPr>
            <b/>
            <sz val="8"/>
            <color indexed="81"/>
            <rFont val="Tahoma"/>
          </rPr>
          <t xml:space="preserve">  TNT                                               1.49e+6                  0.98
</t>
        </r>
        <r>
          <rPr>
            <b/>
            <sz val="8"/>
            <color indexed="10"/>
            <rFont val="Tahoma"/>
            <family val="2"/>
          </rPr>
          <t>11</t>
        </r>
        <r>
          <rPr>
            <b/>
            <sz val="8"/>
            <color indexed="81"/>
            <rFont val="Tahoma"/>
          </rPr>
          <t xml:space="preserve">  PowerDitch 1000                      1.79e+6                  1.18
</t>
        </r>
        <r>
          <rPr>
            <b/>
            <sz val="8"/>
            <color indexed="10"/>
            <rFont val="Tahoma"/>
            <family val="2"/>
          </rPr>
          <t>12</t>
        </r>
        <r>
          <rPr>
            <b/>
            <sz val="8"/>
            <color indexed="81"/>
            <rFont val="Tahoma"/>
          </rPr>
          <t xml:space="preserve">  Petrogel                                      1.62E+6                  1.08
</t>
        </r>
        <r>
          <rPr>
            <b/>
            <sz val="8"/>
            <color indexed="10"/>
            <rFont val="Tahoma"/>
            <family val="2"/>
          </rPr>
          <t>13</t>
        </r>
        <r>
          <rPr>
            <b/>
            <sz val="8"/>
            <color indexed="81"/>
            <rFont val="Tahoma"/>
          </rPr>
          <t xml:space="preserve">  Powergel D                                 1.46E+6                  0.97
</t>
        </r>
        <r>
          <rPr>
            <b/>
            <sz val="8"/>
            <color indexed="10"/>
            <rFont val="Tahoma"/>
            <family val="2"/>
          </rPr>
          <t>14</t>
        </r>
        <r>
          <rPr>
            <b/>
            <sz val="8"/>
            <color indexed="81"/>
            <rFont val="Tahoma"/>
          </rPr>
          <t xml:space="preserve">  Unigel                                          1.72E+6                  1.14
</t>
        </r>
        <r>
          <rPr>
            <b/>
            <sz val="8"/>
            <color indexed="10"/>
            <rFont val="Tahoma"/>
            <family val="2"/>
          </rPr>
          <t>15</t>
        </r>
        <r>
          <rPr>
            <b/>
            <sz val="8"/>
            <color indexed="81"/>
            <rFont val="Tahoma"/>
          </rPr>
          <t xml:space="preserve">  ML - 400 Slurry                          1.50E+6                  1.00
</t>
        </r>
        <r>
          <rPr>
            <b/>
            <sz val="8"/>
            <color indexed="10"/>
            <rFont val="Tahoma"/>
            <family val="2"/>
          </rPr>
          <t>16</t>
        </r>
        <r>
          <rPr>
            <b/>
            <sz val="8"/>
            <color indexed="81"/>
            <rFont val="Tahoma"/>
          </rPr>
          <t xml:space="preserve">  Supergel                                      2.03E+6                  1.35
</t>
        </r>
        <r>
          <rPr>
            <b/>
            <sz val="8"/>
            <color indexed="10"/>
            <rFont val="Tahoma"/>
            <family val="2"/>
          </rPr>
          <t>**For More, See "</t>
        </r>
        <r>
          <rPr>
            <b/>
            <sz val="8"/>
            <color indexed="81"/>
            <rFont val="Tahoma"/>
            <family val="2"/>
          </rPr>
          <t>Data Charts</t>
        </r>
        <r>
          <rPr>
            <b/>
            <sz val="8"/>
            <color indexed="10"/>
            <rFont val="Tahoma"/>
            <family val="2"/>
          </rPr>
          <t>" tab
***Estimations Using the Data Above Are Usually 
       Sufficient</t>
        </r>
      </text>
    </comment>
    <comment ref="C19" authorId="0">
      <text>
        <r>
          <rPr>
            <b/>
            <sz val="8"/>
            <color indexed="81"/>
            <rFont val="Tahoma"/>
          </rPr>
          <t xml:space="preserve">If the spacing between charges is larger than the standoff distance, each separate charge should be analyzed as a single point source.
                               </t>
        </r>
        <r>
          <rPr>
            <b/>
            <sz val="8"/>
            <color indexed="10"/>
            <rFont val="Tahoma"/>
            <family val="2"/>
          </rPr>
          <t xml:space="preserve"> "PRCI/AGA Report No. L51406"</t>
        </r>
      </text>
    </comment>
    <comment ref="C20" authorId="0">
      <text>
        <r>
          <rPr>
            <b/>
            <sz val="8"/>
            <color indexed="81"/>
            <rFont val="Tahoma"/>
          </rPr>
          <t xml:space="preserve">The transition point between a line and a point source occurs at a value of standoff distance R somewhat smaller than the explosive line length L.  However, for simplicity in application of the predictive equations, a transition value of R equal to L is recommended.  This value is conservative , yet accurate and easy to remember.
                                                                 </t>
        </r>
        <r>
          <rPr>
            <b/>
            <sz val="8"/>
            <color indexed="10"/>
            <rFont val="Tahoma"/>
            <family val="2"/>
          </rPr>
          <t xml:space="preserve"> "PRCI/AGA Report No. L51406"</t>
        </r>
        <r>
          <rPr>
            <b/>
            <sz val="8"/>
            <color indexed="81"/>
            <rFont val="Tahoma"/>
          </rPr>
          <t xml:space="preserve">
</t>
        </r>
      </text>
    </comment>
    <comment ref="C32" authorId="1">
      <text>
        <r>
          <rPr>
            <b/>
            <sz val="8"/>
            <color indexed="12"/>
            <rFont val="Tahoma"/>
            <family val="2"/>
          </rPr>
          <t xml:space="preserve">COMMON EXPLOSIVES
</t>
        </r>
        <r>
          <rPr>
            <b/>
            <sz val="8"/>
            <color indexed="10"/>
            <rFont val="Tahoma"/>
            <family val="2"/>
          </rPr>
          <t xml:space="preserve">
#   </t>
        </r>
        <r>
          <rPr>
            <b/>
            <sz val="8"/>
            <color indexed="48"/>
            <rFont val="Tahoma"/>
            <family val="2"/>
          </rPr>
          <t xml:space="preserve">Explosive Type                         We  (ft-lbf/lbm)     n  </t>
        </r>
        <r>
          <rPr>
            <b/>
            <sz val="8"/>
            <color indexed="81"/>
            <rFont val="Tahoma"/>
            <family val="2"/>
          </rPr>
          <t xml:space="preserve">   </t>
        </r>
        <r>
          <rPr>
            <b/>
            <sz val="8"/>
            <color indexed="10"/>
            <rFont val="Tahoma"/>
            <family val="2"/>
          </rPr>
          <t xml:space="preserve">    
1    </t>
        </r>
        <r>
          <rPr>
            <b/>
            <sz val="8"/>
            <color indexed="81"/>
            <rFont val="Tahoma"/>
            <family val="2"/>
          </rPr>
          <t>ANFO (94/6)                              1.52e+6                   1</t>
        </r>
        <r>
          <rPr>
            <b/>
            <sz val="8"/>
            <color indexed="10"/>
            <rFont val="Tahoma"/>
            <family val="2"/>
          </rPr>
          <t xml:space="preserve">
2    </t>
        </r>
        <r>
          <rPr>
            <b/>
            <sz val="8"/>
            <color indexed="81"/>
            <rFont val="Tahoma"/>
            <family val="2"/>
          </rPr>
          <t>AN Low Density Dynamite     1.50e+6                   0.99</t>
        </r>
        <r>
          <rPr>
            <b/>
            <sz val="8"/>
            <color indexed="10"/>
            <rFont val="Tahoma"/>
            <family val="2"/>
          </rPr>
          <t xml:space="preserve">
3    </t>
        </r>
        <r>
          <rPr>
            <b/>
            <sz val="8"/>
            <color indexed="81"/>
            <rFont val="Tahoma"/>
            <family val="2"/>
          </rPr>
          <t>Comp B (60/40)                       1.70e+6                   1.12</t>
        </r>
        <r>
          <rPr>
            <b/>
            <sz val="8"/>
            <color indexed="10"/>
            <rFont val="Tahoma"/>
            <family val="2"/>
          </rPr>
          <t xml:space="preserve">
4    </t>
        </r>
        <r>
          <rPr>
            <b/>
            <sz val="8"/>
            <color indexed="81"/>
            <rFont val="Tahoma"/>
            <family val="2"/>
          </rPr>
          <t>Comp C-4                                   1.70e+6                   1.12</t>
        </r>
        <r>
          <rPr>
            <b/>
            <sz val="8"/>
            <color indexed="10"/>
            <rFont val="Tahoma"/>
            <family val="2"/>
          </rPr>
          <t xml:space="preserve">
5    </t>
        </r>
        <r>
          <rPr>
            <b/>
            <sz val="8"/>
            <color indexed="81"/>
            <rFont val="Tahoma"/>
            <family val="2"/>
          </rPr>
          <t>HBX - 1                                        1.30e+6                   0.83</t>
        </r>
        <r>
          <rPr>
            <b/>
            <sz val="8"/>
            <color indexed="10"/>
            <rFont val="Tahoma"/>
            <family val="2"/>
          </rPr>
          <t xml:space="preserve">
6    </t>
        </r>
        <r>
          <rPr>
            <b/>
            <sz val="8"/>
            <color indexed="81"/>
            <rFont val="Tahoma"/>
            <family val="2"/>
          </rPr>
          <t>NG Dynamite (40%)                1.59e+6                  1.05</t>
        </r>
        <r>
          <rPr>
            <b/>
            <sz val="8"/>
            <color indexed="10"/>
            <rFont val="Tahoma"/>
            <family val="2"/>
          </rPr>
          <t xml:space="preserve">
7    </t>
        </r>
        <r>
          <rPr>
            <b/>
            <sz val="8"/>
            <color indexed="81"/>
            <rFont val="Tahoma"/>
            <family val="2"/>
          </rPr>
          <t>NG Dynamite (60%)                1.70e+6                  1.12</t>
        </r>
        <r>
          <rPr>
            <b/>
            <sz val="8"/>
            <color indexed="10"/>
            <rFont val="Tahoma"/>
            <family val="2"/>
          </rPr>
          <t xml:space="preserve">
8    </t>
        </r>
        <r>
          <rPr>
            <b/>
            <sz val="8"/>
            <color indexed="81"/>
            <rFont val="Tahoma"/>
            <family val="2"/>
          </rPr>
          <t>Pentolite (50/50)                     1.68e+6                  1.11</t>
        </r>
        <r>
          <rPr>
            <b/>
            <sz val="8"/>
            <color indexed="10"/>
            <rFont val="Tahoma"/>
            <family val="2"/>
          </rPr>
          <t xml:space="preserve">
9    </t>
        </r>
        <r>
          <rPr>
            <b/>
            <sz val="8"/>
            <color indexed="81"/>
            <rFont val="Tahoma"/>
            <family val="2"/>
          </rPr>
          <t>RDX                                              1.76e+6                  1.16</t>
        </r>
        <r>
          <rPr>
            <b/>
            <sz val="8"/>
            <color indexed="10"/>
            <rFont val="Tahoma"/>
            <family val="2"/>
          </rPr>
          <t xml:space="preserve">
10</t>
        </r>
        <r>
          <rPr>
            <b/>
            <sz val="8"/>
            <color indexed="81"/>
            <rFont val="Tahoma"/>
          </rPr>
          <t xml:space="preserve">  TNT                                               1.49e+6                  0.98
</t>
        </r>
        <r>
          <rPr>
            <b/>
            <sz val="8"/>
            <color indexed="10"/>
            <rFont val="Tahoma"/>
            <family val="2"/>
          </rPr>
          <t>11</t>
        </r>
        <r>
          <rPr>
            <b/>
            <sz val="8"/>
            <color indexed="81"/>
            <rFont val="Tahoma"/>
          </rPr>
          <t xml:space="preserve">  PowerDitch 1000                      1.79e+6                  1.18
</t>
        </r>
        <r>
          <rPr>
            <b/>
            <sz val="8"/>
            <color indexed="10"/>
            <rFont val="Tahoma"/>
            <family val="2"/>
          </rPr>
          <t>12</t>
        </r>
        <r>
          <rPr>
            <b/>
            <sz val="8"/>
            <color indexed="81"/>
            <rFont val="Tahoma"/>
          </rPr>
          <t xml:space="preserve">  Petrogel                                      1.62E+6                  1.08
</t>
        </r>
        <r>
          <rPr>
            <b/>
            <sz val="8"/>
            <color indexed="10"/>
            <rFont val="Tahoma"/>
            <family val="2"/>
          </rPr>
          <t>13</t>
        </r>
        <r>
          <rPr>
            <b/>
            <sz val="8"/>
            <color indexed="81"/>
            <rFont val="Tahoma"/>
          </rPr>
          <t xml:space="preserve">  Powergel D                                 1.46E+6                  0.97
</t>
        </r>
        <r>
          <rPr>
            <b/>
            <sz val="8"/>
            <color indexed="10"/>
            <rFont val="Tahoma"/>
            <family val="2"/>
          </rPr>
          <t>14</t>
        </r>
        <r>
          <rPr>
            <b/>
            <sz val="8"/>
            <color indexed="81"/>
            <rFont val="Tahoma"/>
          </rPr>
          <t xml:space="preserve">  Unigel                                          1.72E+6                  1.14
</t>
        </r>
        <r>
          <rPr>
            <b/>
            <sz val="8"/>
            <color indexed="10"/>
            <rFont val="Tahoma"/>
            <family val="2"/>
          </rPr>
          <t>15</t>
        </r>
        <r>
          <rPr>
            <b/>
            <sz val="8"/>
            <color indexed="81"/>
            <rFont val="Tahoma"/>
          </rPr>
          <t xml:space="preserve">  ML - 400 Slurry                          1.50E+6                  1.00
</t>
        </r>
        <r>
          <rPr>
            <b/>
            <sz val="8"/>
            <color indexed="10"/>
            <rFont val="Tahoma"/>
            <family val="2"/>
          </rPr>
          <t>16</t>
        </r>
        <r>
          <rPr>
            <b/>
            <sz val="8"/>
            <color indexed="81"/>
            <rFont val="Tahoma"/>
          </rPr>
          <t xml:space="preserve">  Supergel                                      2.03E+6                  1.35
</t>
        </r>
        <r>
          <rPr>
            <b/>
            <sz val="8"/>
            <color indexed="10"/>
            <rFont val="Tahoma"/>
            <family val="2"/>
          </rPr>
          <t>**For More, See "</t>
        </r>
        <r>
          <rPr>
            <b/>
            <sz val="8"/>
            <color indexed="81"/>
            <rFont val="Tahoma"/>
            <family val="2"/>
          </rPr>
          <t>Data Charts</t>
        </r>
        <r>
          <rPr>
            <b/>
            <sz val="8"/>
            <color indexed="10"/>
            <rFont val="Tahoma"/>
            <family val="2"/>
          </rPr>
          <t>" tab
***Estimations Using the Data Above Are Usually 
       Sufficient</t>
        </r>
      </text>
    </comment>
    <comment ref="C35" authorId="1">
      <text>
        <r>
          <rPr>
            <b/>
            <sz val="8"/>
            <color indexed="48"/>
            <rFont val="Tahoma"/>
            <family val="2"/>
          </rPr>
          <t xml:space="preserve">Soil Type                                                                     Density (lb/ft^3)
</t>
        </r>
        <r>
          <rPr>
            <b/>
            <sz val="8"/>
            <color indexed="81"/>
            <rFont val="Tahoma"/>
            <family val="2"/>
          </rPr>
          <t xml:space="preserve">Granular Materials without Cohesion                            90-100               
Sand &amp; Gravel                                                                   110-120
Saturated Top Soil                                                           110-120
Clay                                                                                      110-120
Saturated Clay                                                                  120-130
Rock (Granite, Marble, Quartz)                                     165-180
Rock (Limestone, Sandstone)                                       125-180
Medium Dense Sand                                                         120-130
Dense Sand                                                                         120-130
Igneous Basalt                                                                   170-190
Lightweight Concrete                                                         70-115
Plain Concrete                                                                    140-160
Reinforced Concrete                                                         140-160
</t>
        </r>
        <r>
          <rPr>
            <b/>
            <sz val="8"/>
            <color indexed="10"/>
            <rFont val="Tahoma"/>
            <family val="2"/>
          </rPr>
          <t xml:space="preserve">
** These assumptions are based primarily on how homogeneous the earth material is.  There may be more or less rock per square foot than another section of the blasting grid - contributing to a non-homogeneous dispersion of dirt and rock properties.  Depending on how dense the material is, the seismic waves may travel faster or slower.  The predicted values are based on general densities of surrounding dirt and rock.  For a more accurate density, conduct a ground survey.</t>
        </r>
      </text>
    </comment>
    <comment ref="C37" authorId="1">
      <text>
        <r>
          <rPr>
            <b/>
            <sz val="8"/>
            <color indexed="48"/>
            <rFont val="Tahoma"/>
            <family val="2"/>
          </rPr>
          <t xml:space="preserve">Soil Type                                                                    P-Wave Velocity
                                                                                           ( ft/sec )
</t>
        </r>
        <r>
          <rPr>
            <b/>
            <sz val="8"/>
            <color indexed="10"/>
            <rFont val="Tahoma"/>
            <family val="2"/>
          </rPr>
          <t>**Rough Estimated Guesses
**Use a Seismic P-Wave Calculation if Needed</t>
        </r>
        <r>
          <rPr>
            <b/>
            <sz val="8"/>
            <color indexed="48"/>
            <rFont val="Tahoma"/>
            <family val="2"/>
          </rPr>
          <t xml:space="preserve">
</t>
        </r>
        <r>
          <rPr>
            <b/>
            <sz val="8"/>
            <color indexed="81"/>
            <rFont val="Tahoma"/>
            <family val="2"/>
          </rPr>
          <t xml:space="preserve">Granular Materials without Cohesion                          100-500            
Sand &amp; Gravel                                                                    100-500
Saturated Top Soil                                                            100-500
Clay                                                                                       100-500
Saturated Clay                                                                   100-500
Rock (Granite, Marble, Quartz)                                 2000-5000
Rock (Limestone, Sandstone)                                   2000-5000
Medium Dense Sand                                                         100-500
Dense Sand                                                                         100-500
Igneous Basalt                                                               2000-5000
Lightweight Concrete                                                   2000-4000
Plain Concrete                                                                2000-5000
Reinforced Concrete                                                     2000-5000
15-25 ms for hard rock                                                        13,000
20-50 ms for softer rock                                                        9,800
35-75 ms for weak rock                                                         6,600
</t>
        </r>
        <r>
          <rPr>
            <b/>
            <sz val="8"/>
            <color indexed="10"/>
            <rFont val="Tahoma"/>
            <family val="2"/>
          </rPr>
          <t>*** These assumptions are based primarily on how homogeneous the earth material is.  There may be more or less rock per square foot than another section of the blasting grid - contributing to a non-homogeneous dispersion of dirt and rock properties.  Depending on how dense the material is, the seismic waves may travel faster or slower.  The predicted values are based on general velocities of surrounding dirt and rock.  For a more accurate measurement, conduct a seismic survey.</t>
        </r>
        <r>
          <rPr>
            <b/>
            <sz val="8"/>
            <color indexed="81"/>
            <rFont val="Tahoma"/>
            <family val="2"/>
          </rPr>
          <t xml:space="preserve">
</t>
        </r>
      </text>
    </comment>
    <comment ref="C39" authorId="1">
      <text>
        <r>
          <rPr>
            <b/>
            <sz val="8"/>
            <color indexed="48"/>
            <rFont val="Tahoma"/>
            <family val="2"/>
          </rPr>
          <t>P = 14.54*((55096-(Elevation-361))/(55096-(Elevation+361))</t>
        </r>
        <r>
          <rPr>
            <sz val="8"/>
            <color indexed="81"/>
            <rFont val="Tahoma"/>
          </rPr>
          <t xml:space="preserve">
</t>
        </r>
        <r>
          <rPr>
            <b/>
            <sz val="8"/>
            <color indexed="10"/>
            <rFont val="Tahoma"/>
            <family val="2"/>
          </rPr>
          <t>AGA Report No. 3 "Orifice Metering of Natural Gas", Part 3, page 23</t>
        </r>
      </text>
    </comment>
  </commentList>
</comments>
</file>

<file path=xl/comments3.xml><?xml version="1.0" encoding="utf-8"?>
<comments xmlns="http://schemas.openxmlformats.org/spreadsheetml/2006/main">
  <authors>
    <author>WILLIAMS COMPANIES, INC.</author>
    <author>Gulfmgh</author>
  </authors>
  <commentList>
    <comment ref="C8" authorId="0">
      <text>
        <r>
          <rPr>
            <b/>
            <sz val="8"/>
            <color indexed="81"/>
            <rFont val="Tahoma"/>
          </rPr>
          <t xml:space="preserve">E = 30,000,000 psi to
E = 29,500,000 psi.  
This program uses
E = 29,500,000 psi for Steel Pipe.
</t>
        </r>
      </text>
    </comment>
    <comment ref="C10" authorId="0">
      <text>
        <r>
          <rPr>
            <b/>
            <sz val="8"/>
            <color indexed="48"/>
            <rFont val="Tahoma"/>
            <family val="2"/>
          </rPr>
          <t xml:space="preserve"> Class             Maximum Allowable     Maximum Allowable 
                        Combined Stress           Combined Stress</t>
        </r>
        <r>
          <rPr>
            <b/>
            <sz val="8"/>
            <color indexed="81"/>
            <rFont val="Tahoma"/>
          </rPr>
          <t xml:space="preserve">
                 </t>
        </r>
        <r>
          <rPr>
            <b/>
            <sz val="8"/>
            <color indexed="10"/>
            <rFont val="Tahoma"/>
            <family val="2"/>
          </rPr>
          <t xml:space="preserve">       (Temporary)                 (Permanent)</t>
        </r>
        <r>
          <rPr>
            <b/>
            <sz val="8"/>
            <color indexed="81"/>
            <rFont val="Tahoma"/>
          </rPr>
          <t xml:space="preserve">          
                        </t>
        </r>
        <r>
          <rPr>
            <b/>
            <sz val="8"/>
            <color indexed="48"/>
            <rFont val="Tahoma"/>
            <family val="2"/>
          </rPr>
          <t>% SMYS                           % SMYS</t>
        </r>
        <r>
          <rPr>
            <b/>
            <sz val="8"/>
            <color indexed="81"/>
            <rFont val="Tahoma"/>
          </rPr>
          <t xml:space="preserve">
</t>
        </r>
        <r>
          <rPr>
            <b/>
            <sz val="8"/>
            <color indexed="48"/>
            <rFont val="Tahoma"/>
            <family val="2"/>
          </rPr>
          <t>ASME B31.G 2003 - 833.4 (b), (c)</t>
        </r>
        <r>
          <rPr>
            <b/>
            <sz val="8"/>
            <color indexed="81"/>
            <rFont val="Tahoma"/>
          </rPr>
          <t xml:space="preserve">
    </t>
        </r>
        <r>
          <rPr>
            <b/>
            <sz val="8"/>
            <color indexed="10"/>
            <rFont val="Tahoma"/>
            <family val="2"/>
          </rPr>
          <t>1</t>
        </r>
        <r>
          <rPr>
            <b/>
            <sz val="8"/>
            <color indexed="81"/>
            <rFont val="Tahoma"/>
          </rPr>
          <t xml:space="preserve">                 100%                                90%
    </t>
        </r>
        <r>
          <rPr>
            <b/>
            <sz val="8"/>
            <color indexed="10"/>
            <rFont val="Tahoma"/>
            <family val="2"/>
          </rPr>
          <t>2</t>
        </r>
        <r>
          <rPr>
            <b/>
            <sz val="8"/>
            <color indexed="81"/>
            <rFont val="Tahoma"/>
          </rPr>
          <t xml:space="preserve">                 100%                                90%                         
    </t>
        </r>
        <r>
          <rPr>
            <b/>
            <sz val="8"/>
            <color indexed="10"/>
            <rFont val="Tahoma"/>
            <family val="2"/>
          </rPr>
          <t xml:space="preserve">3 </t>
        </r>
        <r>
          <rPr>
            <b/>
            <sz val="8"/>
            <color indexed="81"/>
            <rFont val="Tahoma"/>
          </rPr>
          <t xml:space="preserve">                100%                                90%
    </t>
        </r>
        <r>
          <rPr>
            <b/>
            <sz val="8"/>
            <color indexed="10"/>
            <rFont val="Tahoma"/>
            <family val="2"/>
          </rPr>
          <t>4</t>
        </r>
        <r>
          <rPr>
            <b/>
            <sz val="8"/>
            <color indexed="81"/>
            <rFont val="Tahoma"/>
          </rPr>
          <t xml:space="preserve">                 100%                                90%
</t>
        </r>
        <r>
          <rPr>
            <b/>
            <sz val="8"/>
            <color indexed="48"/>
            <rFont val="Tahoma"/>
            <family val="2"/>
          </rPr>
          <t>WILLIAMS - GAS PIPELINE (post 2005)</t>
        </r>
        <r>
          <rPr>
            <b/>
            <sz val="8"/>
            <color indexed="81"/>
            <rFont val="Tahoma"/>
          </rPr>
          <t xml:space="preserve">
     </t>
        </r>
        <r>
          <rPr>
            <b/>
            <sz val="8"/>
            <color indexed="10"/>
            <rFont val="Tahoma"/>
            <family val="2"/>
          </rPr>
          <t>1</t>
        </r>
        <r>
          <rPr>
            <b/>
            <sz val="8"/>
            <color indexed="81"/>
            <rFont val="Tahoma"/>
          </rPr>
          <t xml:space="preserve">                 90%                                 80%
     </t>
        </r>
        <r>
          <rPr>
            <b/>
            <sz val="8"/>
            <color indexed="10"/>
            <rFont val="Tahoma"/>
            <family val="2"/>
          </rPr>
          <t>2</t>
        </r>
        <r>
          <rPr>
            <b/>
            <sz val="8"/>
            <color indexed="81"/>
            <rFont val="Tahoma"/>
          </rPr>
          <t xml:space="preserve">                 90%                                 80%                         
     </t>
        </r>
        <r>
          <rPr>
            <b/>
            <sz val="8"/>
            <color indexed="10"/>
            <rFont val="Tahoma"/>
            <family val="2"/>
          </rPr>
          <t>3</t>
        </r>
        <r>
          <rPr>
            <b/>
            <sz val="8"/>
            <color indexed="81"/>
            <rFont val="Tahoma"/>
          </rPr>
          <t xml:space="preserve">                 90%                                 80%
     </t>
        </r>
        <r>
          <rPr>
            <b/>
            <sz val="8"/>
            <color indexed="10"/>
            <rFont val="Tahoma"/>
            <family val="2"/>
          </rPr>
          <t xml:space="preserve">4 </t>
        </r>
        <r>
          <rPr>
            <b/>
            <sz val="8"/>
            <color indexed="81"/>
            <rFont val="Tahoma"/>
          </rPr>
          <t xml:space="preserve">                90%                                 80%
</t>
        </r>
        <r>
          <rPr>
            <b/>
            <sz val="8"/>
            <color indexed="48"/>
            <rFont val="Tahoma"/>
            <family val="2"/>
          </rPr>
          <t>PRE - ASME B31.G 2003 - 833.4 (b), (c)</t>
        </r>
        <r>
          <rPr>
            <b/>
            <sz val="8"/>
            <color indexed="81"/>
            <rFont val="Tahoma"/>
          </rPr>
          <t xml:space="preserve">
     </t>
        </r>
        <r>
          <rPr>
            <b/>
            <sz val="8"/>
            <color indexed="10"/>
            <rFont val="Tahoma"/>
            <family val="2"/>
          </rPr>
          <t>1</t>
        </r>
        <r>
          <rPr>
            <b/>
            <sz val="8"/>
            <color indexed="81"/>
            <rFont val="Tahoma"/>
          </rPr>
          <t xml:space="preserve">                 80%                                 80%
     </t>
        </r>
        <r>
          <rPr>
            <b/>
            <sz val="8"/>
            <color indexed="10"/>
            <rFont val="Tahoma"/>
            <family val="2"/>
          </rPr>
          <t>2</t>
        </r>
        <r>
          <rPr>
            <b/>
            <sz val="8"/>
            <color indexed="81"/>
            <rFont val="Tahoma"/>
          </rPr>
          <t xml:space="preserve">                 72%                                 72%                         
     </t>
        </r>
        <r>
          <rPr>
            <b/>
            <sz val="8"/>
            <color indexed="10"/>
            <rFont val="Tahoma"/>
            <family val="2"/>
          </rPr>
          <t>3</t>
        </r>
        <r>
          <rPr>
            <b/>
            <sz val="8"/>
            <color indexed="81"/>
            <rFont val="Tahoma"/>
          </rPr>
          <t xml:space="preserve">                 62%                                 62%
     </t>
        </r>
        <r>
          <rPr>
            <b/>
            <sz val="8"/>
            <color indexed="10"/>
            <rFont val="Tahoma"/>
            <family val="2"/>
          </rPr>
          <t>4</t>
        </r>
        <r>
          <rPr>
            <b/>
            <sz val="8"/>
            <color indexed="81"/>
            <rFont val="Tahoma"/>
          </rPr>
          <t xml:space="preserve">                 50%                                 50% </t>
        </r>
      </text>
    </comment>
    <comment ref="C11" authorId="1">
      <text>
        <r>
          <rPr>
            <b/>
            <sz val="8"/>
            <color indexed="12"/>
            <rFont val="Tahoma"/>
            <family val="2"/>
          </rPr>
          <t xml:space="preserve">COMMON EXPLOSIVES
</t>
        </r>
        <r>
          <rPr>
            <b/>
            <sz val="8"/>
            <color indexed="10"/>
            <rFont val="Tahoma"/>
            <family val="2"/>
          </rPr>
          <t xml:space="preserve">
#   </t>
        </r>
        <r>
          <rPr>
            <b/>
            <sz val="8"/>
            <color indexed="48"/>
            <rFont val="Tahoma"/>
            <family val="2"/>
          </rPr>
          <t xml:space="preserve">Explosive Type                         We  (ft-lbf/lbm)     n  </t>
        </r>
        <r>
          <rPr>
            <b/>
            <sz val="8"/>
            <color indexed="81"/>
            <rFont val="Tahoma"/>
            <family val="2"/>
          </rPr>
          <t xml:space="preserve">   </t>
        </r>
        <r>
          <rPr>
            <b/>
            <sz val="8"/>
            <color indexed="10"/>
            <rFont val="Tahoma"/>
            <family val="2"/>
          </rPr>
          <t xml:space="preserve">    
1    </t>
        </r>
        <r>
          <rPr>
            <b/>
            <sz val="8"/>
            <color indexed="81"/>
            <rFont val="Tahoma"/>
            <family val="2"/>
          </rPr>
          <t>ANFO (94/6)                              1.52e+6                   1</t>
        </r>
        <r>
          <rPr>
            <b/>
            <sz val="8"/>
            <color indexed="10"/>
            <rFont val="Tahoma"/>
            <family val="2"/>
          </rPr>
          <t xml:space="preserve">
2    </t>
        </r>
        <r>
          <rPr>
            <b/>
            <sz val="8"/>
            <color indexed="81"/>
            <rFont val="Tahoma"/>
            <family val="2"/>
          </rPr>
          <t>AN Low Density Dynamite     1.50e+6                   0.99</t>
        </r>
        <r>
          <rPr>
            <b/>
            <sz val="8"/>
            <color indexed="10"/>
            <rFont val="Tahoma"/>
            <family val="2"/>
          </rPr>
          <t xml:space="preserve">
3    </t>
        </r>
        <r>
          <rPr>
            <b/>
            <sz val="8"/>
            <color indexed="81"/>
            <rFont val="Tahoma"/>
            <family val="2"/>
          </rPr>
          <t>Comp B (60/40)                       1.70e+6                   1.12</t>
        </r>
        <r>
          <rPr>
            <b/>
            <sz val="8"/>
            <color indexed="10"/>
            <rFont val="Tahoma"/>
            <family val="2"/>
          </rPr>
          <t xml:space="preserve">
4    </t>
        </r>
        <r>
          <rPr>
            <b/>
            <sz val="8"/>
            <color indexed="81"/>
            <rFont val="Tahoma"/>
            <family val="2"/>
          </rPr>
          <t>Comp C-4                                   1.70e+6                   1.12</t>
        </r>
        <r>
          <rPr>
            <b/>
            <sz val="8"/>
            <color indexed="10"/>
            <rFont val="Tahoma"/>
            <family val="2"/>
          </rPr>
          <t xml:space="preserve">
5    </t>
        </r>
        <r>
          <rPr>
            <b/>
            <sz val="8"/>
            <color indexed="81"/>
            <rFont val="Tahoma"/>
            <family val="2"/>
          </rPr>
          <t>HBX - 1                                        1.30e+6                   0.83</t>
        </r>
        <r>
          <rPr>
            <b/>
            <sz val="8"/>
            <color indexed="10"/>
            <rFont val="Tahoma"/>
            <family val="2"/>
          </rPr>
          <t xml:space="preserve">
6    </t>
        </r>
        <r>
          <rPr>
            <b/>
            <sz val="8"/>
            <color indexed="81"/>
            <rFont val="Tahoma"/>
            <family val="2"/>
          </rPr>
          <t>NG Dynamite (40%)                1.59e+6                  1.05</t>
        </r>
        <r>
          <rPr>
            <b/>
            <sz val="8"/>
            <color indexed="10"/>
            <rFont val="Tahoma"/>
            <family val="2"/>
          </rPr>
          <t xml:space="preserve">
7    </t>
        </r>
        <r>
          <rPr>
            <b/>
            <sz val="8"/>
            <color indexed="81"/>
            <rFont val="Tahoma"/>
            <family val="2"/>
          </rPr>
          <t>NG Dynamite (60%)                1.70e+6                  1.12</t>
        </r>
        <r>
          <rPr>
            <b/>
            <sz val="8"/>
            <color indexed="10"/>
            <rFont val="Tahoma"/>
            <family val="2"/>
          </rPr>
          <t xml:space="preserve">
8    </t>
        </r>
        <r>
          <rPr>
            <b/>
            <sz val="8"/>
            <color indexed="81"/>
            <rFont val="Tahoma"/>
            <family val="2"/>
          </rPr>
          <t>Pentolite (50/50)                     1.68e+6                  1.11</t>
        </r>
        <r>
          <rPr>
            <b/>
            <sz val="8"/>
            <color indexed="10"/>
            <rFont val="Tahoma"/>
            <family val="2"/>
          </rPr>
          <t xml:space="preserve">
9    </t>
        </r>
        <r>
          <rPr>
            <b/>
            <sz val="8"/>
            <color indexed="81"/>
            <rFont val="Tahoma"/>
            <family val="2"/>
          </rPr>
          <t>RDX                                              1.76e+6                  1.16</t>
        </r>
        <r>
          <rPr>
            <b/>
            <sz val="8"/>
            <color indexed="10"/>
            <rFont val="Tahoma"/>
            <family val="2"/>
          </rPr>
          <t xml:space="preserve">
10</t>
        </r>
        <r>
          <rPr>
            <b/>
            <sz val="8"/>
            <color indexed="81"/>
            <rFont val="Tahoma"/>
          </rPr>
          <t xml:space="preserve">  TNT                                               1.49e+6                  0.98
</t>
        </r>
        <r>
          <rPr>
            <b/>
            <sz val="8"/>
            <color indexed="10"/>
            <rFont val="Tahoma"/>
            <family val="2"/>
          </rPr>
          <t>11</t>
        </r>
        <r>
          <rPr>
            <b/>
            <sz val="8"/>
            <color indexed="81"/>
            <rFont val="Tahoma"/>
          </rPr>
          <t xml:space="preserve">  PowerDitch 1000                      1.79e+6                  1.18
</t>
        </r>
        <r>
          <rPr>
            <b/>
            <sz val="8"/>
            <color indexed="10"/>
            <rFont val="Tahoma"/>
            <family val="2"/>
          </rPr>
          <t>12</t>
        </r>
        <r>
          <rPr>
            <b/>
            <sz val="8"/>
            <color indexed="81"/>
            <rFont val="Tahoma"/>
          </rPr>
          <t xml:space="preserve">  Petrogel                                      1.62E+6                  1.08
</t>
        </r>
        <r>
          <rPr>
            <b/>
            <sz val="8"/>
            <color indexed="10"/>
            <rFont val="Tahoma"/>
            <family val="2"/>
          </rPr>
          <t>13</t>
        </r>
        <r>
          <rPr>
            <b/>
            <sz val="8"/>
            <color indexed="81"/>
            <rFont val="Tahoma"/>
          </rPr>
          <t xml:space="preserve">  Powergel D                                 1.46E+6                  0.97
</t>
        </r>
        <r>
          <rPr>
            <b/>
            <sz val="8"/>
            <color indexed="10"/>
            <rFont val="Tahoma"/>
            <family val="2"/>
          </rPr>
          <t>14</t>
        </r>
        <r>
          <rPr>
            <b/>
            <sz val="8"/>
            <color indexed="81"/>
            <rFont val="Tahoma"/>
          </rPr>
          <t xml:space="preserve">  Unigel                                          1.72E+6                  1.14
</t>
        </r>
        <r>
          <rPr>
            <b/>
            <sz val="8"/>
            <color indexed="10"/>
            <rFont val="Tahoma"/>
            <family val="2"/>
          </rPr>
          <t>15</t>
        </r>
        <r>
          <rPr>
            <b/>
            <sz val="8"/>
            <color indexed="81"/>
            <rFont val="Tahoma"/>
          </rPr>
          <t xml:space="preserve">  ML - 400 Slurry                          1.50E+6                  1.00
</t>
        </r>
        <r>
          <rPr>
            <b/>
            <sz val="8"/>
            <color indexed="10"/>
            <rFont val="Tahoma"/>
            <family val="2"/>
          </rPr>
          <t>16</t>
        </r>
        <r>
          <rPr>
            <b/>
            <sz val="8"/>
            <color indexed="81"/>
            <rFont val="Tahoma"/>
          </rPr>
          <t xml:space="preserve">  Supergel                                      2.03E+6                  1.35
</t>
        </r>
        <r>
          <rPr>
            <b/>
            <sz val="8"/>
            <color indexed="10"/>
            <rFont val="Tahoma"/>
            <family val="2"/>
          </rPr>
          <t>**For More, See "</t>
        </r>
        <r>
          <rPr>
            <b/>
            <sz val="8"/>
            <color indexed="81"/>
            <rFont val="Tahoma"/>
            <family val="2"/>
          </rPr>
          <t>Data Charts</t>
        </r>
        <r>
          <rPr>
            <b/>
            <sz val="8"/>
            <color indexed="10"/>
            <rFont val="Tahoma"/>
            <family val="2"/>
          </rPr>
          <t>" tab
***Estimations Using the Data Above Are Usually 
       Sufficient</t>
        </r>
      </text>
    </comment>
    <comment ref="C23" authorId="0">
      <text>
        <r>
          <rPr>
            <b/>
            <sz val="8"/>
            <color indexed="81"/>
            <rFont val="Tahoma"/>
          </rPr>
          <t xml:space="preserve">If the spacing between charges is larger than the standoff distance, each separate charge should be analyzed as a single point source.
                               </t>
        </r>
        <r>
          <rPr>
            <b/>
            <sz val="8"/>
            <color indexed="10"/>
            <rFont val="Tahoma"/>
            <family val="2"/>
          </rPr>
          <t xml:space="preserve"> "PRCI/AGA Report No. L51406"</t>
        </r>
      </text>
    </comment>
    <comment ref="C25" authorId="0">
      <text>
        <r>
          <rPr>
            <b/>
            <sz val="8"/>
            <color indexed="81"/>
            <rFont val="Tahoma"/>
          </rPr>
          <t xml:space="preserve">Analyses of the data indicated that as long as R &lt;= 1.5L, good agreement ocurred with the parallel line source solution.
                               </t>
        </r>
        <r>
          <rPr>
            <b/>
            <sz val="8"/>
            <color indexed="10"/>
            <rFont val="Tahoma"/>
            <family val="2"/>
          </rPr>
          <t>"PRCI/AGA Report No. L51406</t>
        </r>
      </text>
    </comment>
    <comment ref="C38" authorId="1">
      <text>
        <r>
          <rPr>
            <b/>
            <sz val="8"/>
            <color indexed="12"/>
            <rFont val="Tahoma"/>
            <family val="2"/>
          </rPr>
          <t xml:space="preserve">COMMON EXPLOSIVES
</t>
        </r>
        <r>
          <rPr>
            <b/>
            <sz val="8"/>
            <color indexed="10"/>
            <rFont val="Tahoma"/>
            <family val="2"/>
          </rPr>
          <t xml:space="preserve">
#   </t>
        </r>
        <r>
          <rPr>
            <b/>
            <sz val="8"/>
            <color indexed="48"/>
            <rFont val="Tahoma"/>
            <family val="2"/>
          </rPr>
          <t xml:space="preserve">Explosive Type                         We  (ft-lbf/lbm)     n  </t>
        </r>
        <r>
          <rPr>
            <b/>
            <sz val="8"/>
            <color indexed="81"/>
            <rFont val="Tahoma"/>
            <family val="2"/>
          </rPr>
          <t xml:space="preserve">   </t>
        </r>
        <r>
          <rPr>
            <b/>
            <sz val="8"/>
            <color indexed="10"/>
            <rFont val="Tahoma"/>
            <family val="2"/>
          </rPr>
          <t xml:space="preserve">    
1    </t>
        </r>
        <r>
          <rPr>
            <b/>
            <sz val="8"/>
            <color indexed="81"/>
            <rFont val="Tahoma"/>
            <family val="2"/>
          </rPr>
          <t>ANFO (94/6)                              1.52e+6                   1</t>
        </r>
        <r>
          <rPr>
            <b/>
            <sz val="8"/>
            <color indexed="10"/>
            <rFont val="Tahoma"/>
            <family val="2"/>
          </rPr>
          <t xml:space="preserve">
2    </t>
        </r>
        <r>
          <rPr>
            <b/>
            <sz val="8"/>
            <color indexed="81"/>
            <rFont val="Tahoma"/>
            <family val="2"/>
          </rPr>
          <t>AN Low Density Dynamite     1.50e+6                   0.99</t>
        </r>
        <r>
          <rPr>
            <b/>
            <sz val="8"/>
            <color indexed="10"/>
            <rFont val="Tahoma"/>
            <family val="2"/>
          </rPr>
          <t xml:space="preserve">
3    </t>
        </r>
        <r>
          <rPr>
            <b/>
            <sz val="8"/>
            <color indexed="81"/>
            <rFont val="Tahoma"/>
            <family val="2"/>
          </rPr>
          <t>Comp B (60/40)                       1.70e+6                   1.12</t>
        </r>
        <r>
          <rPr>
            <b/>
            <sz val="8"/>
            <color indexed="10"/>
            <rFont val="Tahoma"/>
            <family val="2"/>
          </rPr>
          <t xml:space="preserve">
4    </t>
        </r>
        <r>
          <rPr>
            <b/>
            <sz val="8"/>
            <color indexed="81"/>
            <rFont val="Tahoma"/>
            <family val="2"/>
          </rPr>
          <t>Comp C-4                                   1.70e+6                   1.12</t>
        </r>
        <r>
          <rPr>
            <b/>
            <sz val="8"/>
            <color indexed="10"/>
            <rFont val="Tahoma"/>
            <family val="2"/>
          </rPr>
          <t xml:space="preserve">
5    </t>
        </r>
        <r>
          <rPr>
            <b/>
            <sz val="8"/>
            <color indexed="81"/>
            <rFont val="Tahoma"/>
            <family val="2"/>
          </rPr>
          <t>HBX - 1                                        1.30e+6                   0.83</t>
        </r>
        <r>
          <rPr>
            <b/>
            <sz val="8"/>
            <color indexed="10"/>
            <rFont val="Tahoma"/>
            <family val="2"/>
          </rPr>
          <t xml:space="preserve">
6    </t>
        </r>
        <r>
          <rPr>
            <b/>
            <sz val="8"/>
            <color indexed="81"/>
            <rFont val="Tahoma"/>
            <family val="2"/>
          </rPr>
          <t>NG Dynamite (40%)                1.59e+6                  1.05</t>
        </r>
        <r>
          <rPr>
            <b/>
            <sz val="8"/>
            <color indexed="10"/>
            <rFont val="Tahoma"/>
            <family val="2"/>
          </rPr>
          <t xml:space="preserve">
7    </t>
        </r>
        <r>
          <rPr>
            <b/>
            <sz val="8"/>
            <color indexed="81"/>
            <rFont val="Tahoma"/>
            <family val="2"/>
          </rPr>
          <t>NG Dynamite (60%)                1.70e+6                  1.12</t>
        </r>
        <r>
          <rPr>
            <b/>
            <sz val="8"/>
            <color indexed="10"/>
            <rFont val="Tahoma"/>
            <family val="2"/>
          </rPr>
          <t xml:space="preserve">
8    </t>
        </r>
        <r>
          <rPr>
            <b/>
            <sz val="8"/>
            <color indexed="81"/>
            <rFont val="Tahoma"/>
            <family val="2"/>
          </rPr>
          <t>Pentolite (50/50)                     1.68e+6                  1.11</t>
        </r>
        <r>
          <rPr>
            <b/>
            <sz val="8"/>
            <color indexed="10"/>
            <rFont val="Tahoma"/>
            <family val="2"/>
          </rPr>
          <t xml:space="preserve">
9    </t>
        </r>
        <r>
          <rPr>
            <b/>
            <sz val="8"/>
            <color indexed="81"/>
            <rFont val="Tahoma"/>
            <family val="2"/>
          </rPr>
          <t>RDX                                              1.76e+6                  1.16</t>
        </r>
        <r>
          <rPr>
            <b/>
            <sz val="8"/>
            <color indexed="10"/>
            <rFont val="Tahoma"/>
            <family val="2"/>
          </rPr>
          <t xml:space="preserve">
10</t>
        </r>
        <r>
          <rPr>
            <b/>
            <sz val="8"/>
            <color indexed="81"/>
            <rFont val="Tahoma"/>
          </rPr>
          <t xml:space="preserve">  TNT                                               1.49e+6                  0.98
</t>
        </r>
        <r>
          <rPr>
            <b/>
            <sz val="8"/>
            <color indexed="10"/>
            <rFont val="Tahoma"/>
            <family val="2"/>
          </rPr>
          <t>11</t>
        </r>
        <r>
          <rPr>
            <b/>
            <sz val="8"/>
            <color indexed="81"/>
            <rFont val="Tahoma"/>
          </rPr>
          <t xml:space="preserve">  PowerDitch 1000                      1.79e+6                  1.18
</t>
        </r>
        <r>
          <rPr>
            <b/>
            <sz val="8"/>
            <color indexed="10"/>
            <rFont val="Tahoma"/>
            <family val="2"/>
          </rPr>
          <t>12</t>
        </r>
        <r>
          <rPr>
            <b/>
            <sz val="8"/>
            <color indexed="81"/>
            <rFont val="Tahoma"/>
          </rPr>
          <t xml:space="preserve">  Petrogel                                      1.62E+6                  1.08
</t>
        </r>
        <r>
          <rPr>
            <b/>
            <sz val="8"/>
            <color indexed="10"/>
            <rFont val="Tahoma"/>
            <family val="2"/>
          </rPr>
          <t>13</t>
        </r>
        <r>
          <rPr>
            <b/>
            <sz val="8"/>
            <color indexed="81"/>
            <rFont val="Tahoma"/>
          </rPr>
          <t xml:space="preserve">  Powergel D                                 1.46E+6                  0.97
</t>
        </r>
        <r>
          <rPr>
            <b/>
            <sz val="8"/>
            <color indexed="10"/>
            <rFont val="Tahoma"/>
            <family val="2"/>
          </rPr>
          <t>14</t>
        </r>
        <r>
          <rPr>
            <b/>
            <sz val="8"/>
            <color indexed="81"/>
            <rFont val="Tahoma"/>
          </rPr>
          <t xml:space="preserve">  Unigel                                          1.72E+6                  1.14
</t>
        </r>
        <r>
          <rPr>
            <b/>
            <sz val="8"/>
            <color indexed="10"/>
            <rFont val="Tahoma"/>
            <family val="2"/>
          </rPr>
          <t>15</t>
        </r>
        <r>
          <rPr>
            <b/>
            <sz val="8"/>
            <color indexed="81"/>
            <rFont val="Tahoma"/>
          </rPr>
          <t xml:space="preserve">  ML - 400 Slurry                          1.50E+6                  1.00
</t>
        </r>
        <r>
          <rPr>
            <b/>
            <sz val="8"/>
            <color indexed="10"/>
            <rFont val="Tahoma"/>
            <family val="2"/>
          </rPr>
          <t>16</t>
        </r>
        <r>
          <rPr>
            <b/>
            <sz val="8"/>
            <color indexed="81"/>
            <rFont val="Tahoma"/>
          </rPr>
          <t xml:space="preserve">  Supergel                                      2.03E+6                  1.35
</t>
        </r>
        <r>
          <rPr>
            <b/>
            <sz val="8"/>
            <color indexed="10"/>
            <rFont val="Tahoma"/>
            <family val="2"/>
          </rPr>
          <t>**For More, See "</t>
        </r>
        <r>
          <rPr>
            <b/>
            <sz val="8"/>
            <color indexed="81"/>
            <rFont val="Tahoma"/>
            <family val="2"/>
          </rPr>
          <t>Data Charts</t>
        </r>
        <r>
          <rPr>
            <b/>
            <sz val="8"/>
            <color indexed="10"/>
            <rFont val="Tahoma"/>
            <family val="2"/>
          </rPr>
          <t>" tab
***Estimations Using the Data Above Are Usually 
       Sufficient</t>
        </r>
      </text>
    </comment>
    <comment ref="C41" authorId="1">
      <text>
        <r>
          <rPr>
            <b/>
            <sz val="8"/>
            <color indexed="48"/>
            <rFont val="Tahoma"/>
            <family val="2"/>
          </rPr>
          <t xml:space="preserve">Soil Type                                                                     Density (lb/ft^3)
</t>
        </r>
        <r>
          <rPr>
            <b/>
            <sz val="8"/>
            <color indexed="81"/>
            <rFont val="Tahoma"/>
            <family val="2"/>
          </rPr>
          <t xml:space="preserve">Granular Materials without Cohesion                            90-100               
Sand &amp; Gravel                                                                   110-120
Saturated Top Soil                                                           110-120
Clay                                                                                      110-120
Saturated Clay                                                                  120-130
Rock (Granite, Marble, Quartz)                                     165-180
Rock (Limestone, Sandstone)                                       125-180
Medium Dense Sand                                                         120-130
Dense Sand                                                                         120-130
Igneous Basalt                                                                   170-190
Lightweight Concrete                                                         70-115
Plain Concrete                                                                    140-160
Reinforced Concrete                                                         140-160
</t>
        </r>
        <r>
          <rPr>
            <b/>
            <sz val="8"/>
            <color indexed="10"/>
            <rFont val="Tahoma"/>
            <family val="2"/>
          </rPr>
          <t>** These assumptions are based primarily on how homogeneous the earth material is.  There may be more or less rock per square foot than another section of the blasting grid - contributing to a non-homogeneous dispersion of dirt and rock properties.  Depending on how dense the material is, the seismic waves may travel faster or slower.  The predicted values are based on general densities of surrounding dirt and rock.  For a more accurate density, conduct a ground survey.</t>
        </r>
      </text>
    </comment>
    <comment ref="C43" authorId="1">
      <text>
        <r>
          <rPr>
            <b/>
            <sz val="8"/>
            <color indexed="48"/>
            <rFont val="Tahoma"/>
            <family val="2"/>
          </rPr>
          <t xml:space="preserve">Soil Type                                                                    P-Wave Velocity
                                                                                           ( ft/sec )
</t>
        </r>
        <r>
          <rPr>
            <b/>
            <sz val="8"/>
            <color indexed="10"/>
            <rFont val="Tahoma"/>
            <family val="2"/>
          </rPr>
          <t>**Rough Estimated Guesses
**Use a Seismic P-Wave Calculation if Needed</t>
        </r>
        <r>
          <rPr>
            <b/>
            <sz val="8"/>
            <color indexed="48"/>
            <rFont val="Tahoma"/>
            <family val="2"/>
          </rPr>
          <t xml:space="preserve">
</t>
        </r>
        <r>
          <rPr>
            <b/>
            <sz val="8"/>
            <color indexed="81"/>
            <rFont val="Tahoma"/>
            <family val="2"/>
          </rPr>
          <t xml:space="preserve">Granular Materials without Cohesion                          100-500            
Sand &amp; Gravel                                                                    100-500
Saturated Top Soil                                                            100-500
Clay                                                                                       100-500
Saturated Clay                                                                   100-500
Rock (Granite, Marble, Quartz)                                 2000-5000
Rock (Limestone, Sandstone)                                   2000-5000
Medium Dense Sand                                                         100-500
Dense Sand                                                                         100-500
Igneous Basalt                                                               2000-5000
Lightweight Concrete                                                   2000-4000
Plain Concrete                                                                2000-5000
Reinforced Concrete                                                     2000-5000
15-25 ms for hard rock                                                        13,000
20-50 ms for softer rock                                                        9,800
35-75 ms for weak rock                                                         6,600
</t>
        </r>
        <r>
          <rPr>
            <b/>
            <sz val="8"/>
            <color indexed="10"/>
            <rFont val="Tahoma"/>
            <family val="2"/>
          </rPr>
          <t xml:space="preserve">*** These assumptions are based primarily on how homogeneous the earth material is.  There may be more or less rock per square foot than another section of the blasting grid - contributing to a non-homogeneous dispersion of dirt and rock properties.  Depending on how dense the material is, the seismic waves may travel faster or slower.  The predicted values are based on general velocities of surrounding dirt and rock.  For a more accurate measurement, conduct a seismic survey. </t>
        </r>
      </text>
    </comment>
    <comment ref="C45" authorId="1">
      <text>
        <r>
          <rPr>
            <b/>
            <sz val="8"/>
            <color indexed="48"/>
            <rFont val="Tahoma"/>
            <family val="2"/>
          </rPr>
          <t>P = 14.54*((55096-(Elevation-361))/(55096-(Elevation+361))</t>
        </r>
        <r>
          <rPr>
            <sz val="8"/>
            <color indexed="81"/>
            <rFont val="Tahoma"/>
          </rPr>
          <t xml:space="preserve">
</t>
        </r>
        <r>
          <rPr>
            <b/>
            <sz val="8"/>
            <color indexed="10"/>
            <rFont val="Tahoma"/>
            <family val="2"/>
          </rPr>
          <t>AGA Report No. 3 "Orifice Metering of Natural Gas", Part 3, page 23</t>
        </r>
      </text>
    </comment>
    <comment ref="C48" authorId="0">
      <text>
        <r>
          <rPr>
            <b/>
            <sz val="8"/>
            <color indexed="81"/>
            <rFont val="Tahoma"/>
          </rPr>
          <t xml:space="preserve">R is used instead of Rgcg in the case of R &gt;= 1.5L because results with a Parallel Grid correlate well with results of a Parallel Line.
             </t>
        </r>
        <r>
          <rPr>
            <b/>
            <sz val="8"/>
            <color indexed="10"/>
            <rFont val="Tahoma"/>
            <family val="2"/>
          </rPr>
          <t>"PRCI/AGA Report No. L51406"</t>
        </r>
      </text>
    </comment>
  </commentList>
</comments>
</file>

<file path=xl/comments4.xml><?xml version="1.0" encoding="utf-8"?>
<comments xmlns="http://schemas.openxmlformats.org/spreadsheetml/2006/main">
  <authors>
    <author>WILLIAMS COMPANIES, INC.</author>
    <author>Gulfmgh</author>
  </authors>
  <commentList>
    <comment ref="C8" authorId="0">
      <text>
        <r>
          <rPr>
            <b/>
            <sz val="8"/>
            <color indexed="81"/>
            <rFont val="Tahoma"/>
          </rPr>
          <t xml:space="preserve">E = 30,000,000 psi to
E = 29,500,000 psi.  
This program uses
E = 29,500,000 psi for Steel Pipe.
</t>
        </r>
      </text>
    </comment>
    <comment ref="C10" authorId="0">
      <text>
        <r>
          <rPr>
            <b/>
            <sz val="8"/>
            <color indexed="48"/>
            <rFont val="Tahoma"/>
            <family val="2"/>
          </rPr>
          <t xml:space="preserve"> Class             Maximum Allowable     Maximum Allowable 
                        Combined Stress           Combined Stress</t>
        </r>
        <r>
          <rPr>
            <b/>
            <sz val="8"/>
            <color indexed="81"/>
            <rFont val="Tahoma"/>
          </rPr>
          <t xml:space="preserve">
                 </t>
        </r>
        <r>
          <rPr>
            <b/>
            <sz val="8"/>
            <color indexed="10"/>
            <rFont val="Tahoma"/>
            <family val="2"/>
          </rPr>
          <t xml:space="preserve">       (Temporary)                 (Permanent)</t>
        </r>
        <r>
          <rPr>
            <b/>
            <sz val="8"/>
            <color indexed="81"/>
            <rFont val="Tahoma"/>
          </rPr>
          <t xml:space="preserve">          
                        </t>
        </r>
        <r>
          <rPr>
            <b/>
            <sz val="8"/>
            <color indexed="48"/>
            <rFont val="Tahoma"/>
            <family val="2"/>
          </rPr>
          <t>% SMYS                           % SMYS</t>
        </r>
        <r>
          <rPr>
            <b/>
            <sz val="8"/>
            <color indexed="81"/>
            <rFont val="Tahoma"/>
          </rPr>
          <t xml:space="preserve">
</t>
        </r>
        <r>
          <rPr>
            <b/>
            <sz val="8"/>
            <color indexed="48"/>
            <rFont val="Tahoma"/>
            <family val="2"/>
          </rPr>
          <t>ASME B31.G 2003 - 833.4 (b), (c)</t>
        </r>
        <r>
          <rPr>
            <b/>
            <sz val="8"/>
            <color indexed="81"/>
            <rFont val="Tahoma"/>
          </rPr>
          <t xml:space="preserve">
     </t>
        </r>
        <r>
          <rPr>
            <b/>
            <sz val="8"/>
            <color indexed="10"/>
            <rFont val="Tahoma"/>
            <family val="2"/>
          </rPr>
          <t>1</t>
        </r>
        <r>
          <rPr>
            <b/>
            <sz val="8"/>
            <color indexed="81"/>
            <rFont val="Tahoma"/>
          </rPr>
          <t xml:space="preserve">                 100%                               90%
     </t>
        </r>
        <r>
          <rPr>
            <b/>
            <sz val="8"/>
            <color indexed="10"/>
            <rFont val="Tahoma"/>
            <family val="2"/>
          </rPr>
          <t>2</t>
        </r>
        <r>
          <rPr>
            <b/>
            <sz val="8"/>
            <color indexed="81"/>
            <rFont val="Tahoma"/>
          </rPr>
          <t xml:space="preserve">                 100%                               90%                         
     </t>
        </r>
        <r>
          <rPr>
            <b/>
            <sz val="8"/>
            <color indexed="10"/>
            <rFont val="Tahoma"/>
            <family val="2"/>
          </rPr>
          <t xml:space="preserve">3 </t>
        </r>
        <r>
          <rPr>
            <b/>
            <sz val="8"/>
            <color indexed="81"/>
            <rFont val="Tahoma"/>
          </rPr>
          <t xml:space="preserve">                100%                               90%
     </t>
        </r>
        <r>
          <rPr>
            <b/>
            <sz val="8"/>
            <color indexed="10"/>
            <rFont val="Tahoma"/>
            <family val="2"/>
          </rPr>
          <t>4</t>
        </r>
        <r>
          <rPr>
            <b/>
            <sz val="8"/>
            <color indexed="81"/>
            <rFont val="Tahoma"/>
          </rPr>
          <t xml:space="preserve">                 100%                               90%
</t>
        </r>
        <r>
          <rPr>
            <b/>
            <sz val="8"/>
            <color indexed="48"/>
            <rFont val="Tahoma"/>
            <family val="2"/>
          </rPr>
          <t>WILLIAMS - GAS PIPELINE (post 2005)</t>
        </r>
        <r>
          <rPr>
            <b/>
            <sz val="8"/>
            <color indexed="81"/>
            <rFont val="Tahoma"/>
          </rPr>
          <t xml:space="preserve">
     </t>
        </r>
        <r>
          <rPr>
            <b/>
            <sz val="8"/>
            <color indexed="10"/>
            <rFont val="Tahoma"/>
            <family val="2"/>
          </rPr>
          <t>1</t>
        </r>
        <r>
          <rPr>
            <b/>
            <sz val="8"/>
            <color indexed="81"/>
            <rFont val="Tahoma"/>
          </rPr>
          <t xml:space="preserve">                 90%                                 80%
     </t>
        </r>
        <r>
          <rPr>
            <b/>
            <sz val="8"/>
            <color indexed="10"/>
            <rFont val="Tahoma"/>
            <family val="2"/>
          </rPr>
          <t>2</t>
        </r>
        <r>
          <rPr>
            <b/>
            <sz val="8"/>
            <color indexed="81"/>
            <rFont val="Tahoma"/>
          </rPr>
          <t xml:space="preserve">                 90%                                 80%                         
     </t>
        </r>
        <r>
          <rPr>
            <b/>
            <sz val="8"/>
            <color indexed="10"/>
            <rFont val="Tahoma"/>
            <family val="2"/>
          </rPr>
          <t>3</t>
        </r>
        <r>
          <rPr>
            <b/>
            <sz val="8"/>
            <color indexed="81"/>
            <rFont val="Tahoma"/>
          </rPr>
          <t xml:space="preserve">                 90%                                 80%
     </t>
        </r>
        <r>
          <rPr>
            <b/>
            <sz val="8"/>
            <color indexed="10"/>
            <rFont val="Tahoma"/>
            <family val="2"/>
          </rPr>
          <t xml:space="preserve">4 </t>
        </r>
        <r>
          <rPr>
            <b/>
            <sz val="8"/>
            <color indexed="81"/>
            <rFont val="Tahoma"/>
          </rPr>
          <t xml:space="preserve">                90%                                 80%
</t>
        </r>
        <r>
          <rPr>
            <b/>
            <sz val="8"/>
            <color indexed="48"/>
            <rFont val="Tahoma"/>
            <family val="2"/>
          </rPr>
          <t>PRE - ASME B31.G 2003 - 833.4 (b), (c)</t>
        </r>
        <r>
          <rPr>
            <b/>
            <sz val="8"/>
            <color indexed="81"/>
            <rFont val="Tahoma"/>
          </rPr>
          <t xml:space="preserve">
     </t>
        </r>
        <r>
          <rPr>
            <b/>
            <sz val="8"/>
            <color indexed="10"/>
            <rFont val="Tahoma"/>
            <family val="2"/>
          </rPr>
          <t>1</t>
        </r>
        <r>
          <rPr>
            <b/>
            <sz val="8"/>
            <color indexed="81"/>
            <rFont val="Tahoma"/>
          </rPr>
          <t xml:space="preserve">                 80%                                 80%
     </t>
        </r>
        <r>
          <rPr>
            <b/>
            <sz val="8"/>
            <color indexed="10"/>
            <rFont val="Tahoma"/>
            <family val="2"/>
          </rPr>
          <t>2</t>
        </r>
        <r>
          <rPr>
            <b/>
            <sz val="8"/>
            <color indexed="81"/>
            <rFont val="Tahoma"/>
          </rPr>
          <t xml:space="preserve">                 72%                                 72%                         
     </t>
        </r>
        <r>
          <rPr>
            <b/>
            <sz val="8"/>
            <color indexed="10"/>
            <rFont val="Tahoma"/>
            <family val="2"/>
          </rPr>
          <t>3</t>
        </r>
        <r>
          <rPr>
            <b/>
            <sz val="8"/>
            <color indexed="81"/>
            <rFont val="Tahoma"/>
          </rPr>
          <t xml:space="preserve">                 62%                                 62%
     </t>
        </r>
        <r>
          <rPr>
            <b/>
            <sz val="8"/>
            <color indexed="10"/>
            <rFont val="Tahoma"/>
            <family val="2"/>
          </rPr>
          <t>4</t>
        </r>
        <r>
          <rPr>
            <b/>
            <sz val="8"/>
            <color indexed="81"/>
            <rFont val="Tahoma"/>
          </rPr>
          <t xml:space="preserve">                 50%                                 50% </t>
        </r>
      </text>
    </comment>
    <comment ref="C11" authorId="1">
      <text>
        <r>
          <rPr>
            <b/>
            <sz val="8"/>
            <color indexed="12"/>
            <rFont val="Tahoma"/>
            <family val="2"/>
          </rPr>
          <t xml:space="preserve">COMMON EXPLOSIVES
</t>
        </r>
        <r>
          <rPr>
            <b/>
            <sz val="8"/>
            <color indexed="10"/>
            <rFont val="Tahoma"/>
            <family val="2"/>
          </rPr>
          <t xml:space="preserve">
#   </t>
        </r>
        <r>
          <rPr>
            <b/>
            <sz val="8"/>
            <color indexed="48"/>
            <rFont val="Tahoma"/>
            <family val="2"/>
          </rPr>
          <t xml:space="preserve">Explosive Type                         We  (ft-lbf/lbm)     n  </t>
        </r>
        <r>
          <rPr>
            <b/>
            <sz val="8"/>
            <color indexed="81"/>
            <rFont val="Tahoma"/>
            <family val="2"/>
          </rPr>
          <t xml:space="preserve">   </t>
        </r>
        <r>
          <rPr>
            <b/>
            <sz val="8"/>
            <color indexed="10"/>
            <rFont val="Tahoma"/>
            <family val="2"/>
          </rPr>
          <t xml:space="preserve">    
1    </t>
        </r>
        <r>
          <rPr>
            <b/>
            <sz val="8"/>
            <color indexed="81"/>
            <rFont val="Tahoma"/>
            <family val="2"/>
          </rPr>
          <t>ANFO (94/6)                              1.52e+6                   1</t>
        </r>
        <r>
          <rPr>
            <b/>
            <sz val="8"/>
            <color indexed="10"/>
            <rFont val="Tahoma"/>
            <family val="2"/>
          </rPr>
          <t xml:space="preserve">
2    </t>
        </r>
        <r>
          <rPr>
            <b/>
            <sz val="8"/>
            <color indexed="81"/>
            <rFont val="Tahoma"/>
            <family val="2"/>
          </rPr>
          <t>AN Low Density Dynamite     1.50e+6                   0.99</t>
        </r>
        <r>
          <rPr>
            <b/>
            <sz val="8"/>
            <color indexed="10"/>
            <rFont val="Tahoma"/>
            <family val="2"/>
          </rPr>
          <t xml:space="preserve">
3    </t>
        </r>
        <r>
          <rPr>
            <b/>
            <sz val="8"/>
            <color indexed="81"/>
            <rFont val="Tahoma"/>
            <family val="2"/>
          </rPr>
          <t>Comp B (60/40)                       1.70e+6                   1.12</t>
        </r>
        <r>
          <rPr>
            <b/>
            <sz val="8"/>
            <color indexed="10"/>
            <rFont val="Tahoma"/>
            <family val="2"/>
          </rPr>
          <t xml:space="preserve">
4    </t>
        </r>
        <r>
          <rPr>
            <b/>
            <sz val="8"/>
            <color indexed="81"/>
            <rFont val="Tahoma"/>
            <family val="2"/>
          </rPr>
          <t>Comp C-4                                   1.70e+6                   1.12</t>
        </r>
        <r>
          <rPr>
            <b/>
            <sz val="8"/>
            <color indexed="10"/>
            <rFont val="Tahoma"/>
            <family val="2"/>
          </rPr>
          <t xml:space="preserve">
5    </t>
        </r>
        <r>
          <rPr>
            <b/>
            <sz val="8"/>
            <color indexed="81"/>
            <rFont val="Tahoma"/>
            <family val="2"/>
          </rPr>
          <t>HBX - 1                                        1.30e+6                   0.83</t>
        </r>
        <r>
          <rPr>
            <b/>
            <sz val="8"/>
            <color indexed="10"/>
            <rFont val="Tahoma"/>
            <family val="2"/>
          </rPr>
          <t xml:space="preserve">
6    </t>
        </r>
        <r>
          <rPr>
            <b/>
            <sz val="8"/>
            <color indexed="81"/>
            <rFont val="Tahoma"/>
            <family val="2"/>
          </rPr>
          <t>NG Dynamite (40%)                1.59e+6                  1.05</t>
        </r>
        <r>
          <rPr>
            <b/>
            <sz val="8"/>
            <color indexed="10"/>
            <rFont val="Tahoma"/>
            <family val="2"/>
          </rPr>
          <t xml:space="preserve">
7    </t>
        </r>
        <r>
          <rPr>
            <b/>
            <sz val="8"/>
            <color indexed="81"/>
            <rFont val="Tahoma"/>
            <family val="2"/>
          </rPr>
          <t>NG Dynamite (60%)                1.70e+6                  1.12</t>
        </r>
        <r>
          <rPr>
            <b/>
            <sz val="8"/>
            <color indexed="10"/>
            <rFont val="Tahoma"/>
            <family val="2"/>
          </rPr>
          <t xml:space="preserve">
8    </t>
        </r>
        <r>
          <rPr>
            <b/>
            <sz val="8"/>
            <color indexed="81"/>
            <rFont val="Tahoma"/>
            <family val="2"/>
          </rPr>
          <t>Pentolite (50/50)                     1.68e+6                  1.11</t>
        </r>
        <r>
          <rPr>
            <b/>
            <sz val="8"/>
            <color indexed="10"/>
            <rFont val="Tahoma"/>
            <family val="2"/>
          </rPr>
          <t xml:space="preserve">
9    </t>
        </r>
        <r>
          <rPr>
            <b/>
            <sz val="8"/>
            <color indexed="81"/>
            <rFont val="Tahoma"/>
            <family val="2"/>
          </rPr>
          <t>RDX                                              1.76e+6                  1.16</t>
        </r>
        <r>
          <rPr>
            <b/>
            <sz val="8"/>
            <color indexed="10"/>
            <rFont val="Tahoma"/>
            <family val="2"/>
          </rPr>
          <t xml:space="preserve">
10</t>
        </r>
        <r>
          <rPr>
            <b/>
            <sz val="8"/>
            <color indexed="81"/>
            <rFont val="Tahoma"/>
          </rPr>
          <t xml:space="preserve">  TNT                                               1.49e+6                  0.98
</t>
        </r>
        <r>
          <rPr>
            <b/>
            <sz val="8"/>
            <color indexed="10"/>
            <rFont val="Tahoma"/>
            <family val="2"/>
          </rPr>
          <t>11</t>
        </r>
        <r>
          <rPr>
            <b/>
            <sz val="8"/>
            <color indexed="81"/>
            <rFont val="Tahoma"/>
          </rPr>
          <t xml:space="preserve">  PowerDitch 1000                      1.79e+6                  1.18
</t>
        </r>
        <r>
          <rPr>
            <b/>
            <sz val="8"/>
            <color indexed="10"/>
            <rFont val="Tahoma"/>
            <family val="2"/>
          </rPr>
          <t>12</t>
        </r>
        <r>
          <rPr>
            <b/>
            <sz val="8"/>
            <color indexed="81"/>
            <rFont val="Tahoma"/>
          </rPr>
          <t xml:space="preserve">  Petrogel                                      1.62E+6                  1.08
</t>
        </r>
        <r>
          <rPr>
            <b/>
            <sz val="8"/>
            <color indexed="10"/>
            <rFont val="Tahoma"/>
            <family val="2"/>
          </rPr>
          <t>13</t>
        </r>
        <r>
          <rPr>
            <b/>
            <sz val="8"/>
            <color indexed="81"/>
            <rFont val="Tahoma"/>
          </rPr>
          <t xml:space="preserve">  Powergel D                                 1.46E+6                  0.97
</t>
        </r>
        <r>
          <rPr>
            <b/>
            <sz val="8"/>
            <color indexed="10"/>
            <rFont val="Tahoma"/>
            <family val="2"/>
          </rPr>
          <t>14</t>
        </r>
        <r>
          <rPr>
            <b/>
            <sz val="8"/>
            <color indexed="81"/>
            <rFont val="Tahoma"/>
          </rPr>
          <t xml:space="preserve">  Unigel                                          1.72E+6                  1.14
</t>
        </r>
        <r>
          <rPr>
            <b/>
            <sz val="8"/>
            <color indexed="10"/>
            <rFont val="Tahoma"/>
            <family val="2"/>
          </rPr>
          <t>15</t>
        </r>
        <r>
          <rPr>
            <b/>
            <sz val="8"/>
            <color indexed="81"/>
            <rFont val="Tahoma"/>
          </rPr>
          <t xml:space="preserve">  ML - 400 Slurry                          1.50E+6                  1.00
</t>
        </r>
        <r>
          <rPr>
            <b/>
            <sz val="8"/>
            <color indexed="10"/>
            <rFont val="Tahoma"/>
            <family val="2"/>
          </rPr>
          <t>16</t>
        </r>
        <r>
          <rPr>
            <b/>
            <sz val="8"/>
            <color indexed="81"/>
            <rFont val="Tahoma"/>
          </rPr>
          <t xml:space="preserve">  Supergel                                      2.03E+6                  1.35
</t>
        </r>
        <r>
          <rPr>
            <b/>
            <sz val="8"/>
            <color indexed="10"/>
            <rFont val="Tahoma"/>
            <family val="2"/>
          </rPr>
          <t>**For More, See "</t>
        </r>
        <r>
          <rPr>
            <b/>
            <sz val="8"/>
            <color indexed="81"/>
            <rFont val="Tahoma"/>
            <family val="2"/>
          </rPr>
          <t>Data Charts</t>
        </r>
        <r>
          <rPr>
            <b/>
            <sz val="8"/>
            <color indexed="10"/>
            <rFont val="Tahoma"/>
            <family val="2"/>
          </rPr>
          <t>" tab
***Estimations Using the Data Above Are Usually 
       Sufficient</t>
        </r>
      </text>
    </comment>
    <comment ref="C22" authorId="0">
      <text>
        <r>
          <rPr>
            <b/>
            <sz val="8"/>
            <color indexed="81"/>
            <rFont val="Tahoma"/>
          </rPr>
          <t xml:space="preserve">If the spacing between charges is larger than the standoff distance, each separate charge should be analyzed as a single point source.
                               </t>
        </r>
        <r>
          <rPr>
            <b/>
            <sz val="8"/>
            <color indexed="10"/>
            <rFont val="Tahoma"/>
            <family val="2"/>
          </rPr>
          <t xml:space="preserve"> "PRCI/AGA Report No. L51406"</t>
        </r>
      </text>
    </comment>
    <comment ref="C23" authorId="0">
      <text>
        <r>
          <rPr>
            <b/>
            <sz val="8"/>
            <color indexed="81"/>
            <rFont val="Tahoma"/>
          </rPr>
          <t xml:space="preserve">The transition point between a line and a point source occurs at a value of standoff distance R somewhat smaller than the explosive line length L.  However, for simplicity in application of the predictive equations, a transition value of R equal to L is recommended.  This value is conservative , yet accurate and easy to remember.
                                                                 </t>
        </r>
        <r>
          <rPr>
            <b/>
            <sz val="8"/>
            <color indexed="10"/>
            <rFont val="Tahoma"/>
            <family val="2"/>
          </rPr>
          <t xml:space="preserve"> "PRCI/AGA Report No. L51406"</t>
        </r>
        <r>
          <rPr>
            <b/>
            <sz val="8"/>
            <color indexed="81"/>
            <rFont val="Tahoma"/>
          </rPr>
          <t xml:space="preserve">
</t>
        </r>
      </text>
    </comment>
    <comment ref="C35" authorId="1">
      <text>
        <r>
          <rPr>
            <b/>
            <sz val="8"/>
            <color indexed="12"/>
            <rFont val="Tahoma"/>
            <family val="2"/>
          </rPr>
          <t xml:space="preserve">COMMON EXPLOSIVES
</t>
        </r>
        <r>
          <rPr>
            <b/>
            <sz val="8"/>
            <color indexed="10"/>
            <rFont val="Tahoma"/>
            <family val="2"/>
          </rPr>
          <t xml:space="preserve">
#   </t>
        </r>
        <r>
          <rPr>
            <b/>
            <sz val="8"/>
            <color indexed="48"/>
            <rFont val="Tahoma"/>
            <family val="2"/>
          </rPr>
          <t xml:space="preserve">Explosive Type                         We  (ft-lbf/lbm)     n  </t>
        </r>
        <r>
          <rPr>
            <b/>
            <sz val="8"/>
            <color indexed="81"/>
            <rFont val="Tahoma"/>
            <family val="2"/>
          </rPr>
          <t xml:space="preserve">   </t>
        </r>
        <r>
          <rPr>
            <b/>
            <sz val="8"/>
            <color indexed="10"/>
            <rFont val="Tahoma"/>
            <family val="2"/>
          </rPr>
          <t xml:space="preserve">    
1    </t>
        </r>
        <r>
          <rPr>
            <b/>
            <sz val="8"/>
            <color indexed="81"/>
            <rFont val="Tahoma"/>
            <family val="2"/>
          </rPr>
          <t>ANFO (94/6)                              1.52e+6                   1</t>
        </r>
        <r>
          <rPr>
            <b/>
            <sz val="8"/>
            <color indexed="10"/>
            <rFont val="Tahoma"/>
            <family val="2"/>
          </rPr>
          <t xml:space="preserve">
2    </t>
        </r>
        <r>
          <rPr>
            <b/>
            <sz val="8"/>
            <color indexed="81"/>
            <rFont val="Tahoma"/>
            <family val="2"/>
          </rPr>
          <t>AN Low Density Dynamite     1.50e+6                   0.99</t>
        </r>
        <r>
          <rPr>
            <b/>
            <sz val="8"/>
            <color indexed="10"/>
            <rFont val="Tahoma"/>
            <family val="2"/>
          </rPr>
          <t xml:space="preserve">
3    </t>
        </r>
        <r>
          <rPr>
            <b/>
            <sz val="8"/>
            <color indexed="81"/>
            <rFont val="Tahoma"/>
            <family val="2"/>
          </rPr>
          <t>Comp B (60/40)                       1.70e+6                   1.12</t>
        </r>
        <r>
          <rPr>
            <b/>
            <sz val="8"/>
            <color indexed="10"/>
            <rFont val="Tahoma"/>
            <family val="2"/>
          </rPr>
          <t xml:space="preserve">
4    </t>
        </r>
        <r>
          <rPr>
            <b/>
            <sz val="8"/>
            <color indexed="81"/>
            <rFont val="Tahoma"/>
            <family val="2"/>
          </rPr>
          <t>Comp C-4                                   1.70e+6                   1.12</t>
        </r>
        <r>
          <rPr>
            <b/>
            <sz val="8"/>
            <color indexed="10"/>
            <rFont val="Tahoma"/>
            <family val="2"/>
          </rPr>
          <t xml:space="preserve">
5    </t>
        </r>
        <r>
          <rPr>
            <b/>
            <sz val="8"/>
            <color indexed="81"/>
            <rFont val="Tahoma"/>
            <family val="2"/>
          </rPr>
          <t>HBX - 1                                        1.30e+6                   0.83</t>
        </r>
        <r>
          <rPr>
            <b/>
            <sz val="8"/>
            <color indexed="10"/>
            <rFont val="Tahoma"/>
            <family val="2"/>
          </rPr>
          <t xml:space="preserve">
6    </t>
        </r>
        <r>
          <rPr>
            <b/>
            <sz val="8"/>
            <color indexed="81"/>
            <rFont val="Tahoma"/>
            <family val="2"/>
          </rPr>
          <t>NG Dynamite (40%)                1.59e+6                  1.05</t>
        </r>
        <r>
          <rPr>
            <b/>
            <sz val="8"/>
            <color indexed="10"/>
            <rFont val="Tahoma"/>
            <family val="2"/>
          </rPr>
          <t xml:space="preserve">
7    </t>
        </r>
        <r>
          <rPr>
            <b/>
            <sz val="8"/>
            <color indexed="81"/>
            <rFont val="Tahoma"/>
            <family val="2"/>
          </rPr>
          <t>NG Dynamite (60%)                1.70e+6                  1.12</t>
        </r>
        <r>
          <rPr>
            <b/>
            <sz val="8"/>
            <color indexed="10"/>
            <rFont val="Tahoma"/>
            <family val="2"/>
          </rPr>
          <t xml:space="preserve">
8    </t>
        </r>
        <r>
          <rPr>
            <b/>
            <sz val="8"/>
            <color indexed="81"/>
            <rFont val="Tahoma"/>
            <family val="2"/>
          </rPr>
          <t>Pentolite (50/50)                     1.68e+6                  1.11</t>
        </r>
        <r>
          <rPr>
            <b/>
            <sz val="8"/>
            <color indexed="10"/>
            <rFont val="Tahoma"/>
            <family val="2"/>
          </rPr>
          <t xml:space="preserve">
9    </t>
        </r>
        <r>
          <rPr>
            <b/>
            <sz val="8"/>
            <color indexed="81"/>
            <rFont val="Tahoma"/>
            <family val="2"/>
          </rPr>
          <t>RDX                                              1.76e+6                  1.16</t>
        </r>
        <r>
          <rPr>
            <b/>
            <sz val="8"/>
            <color indexed="10"/>
            <rFont val="Tahoma"/>
            <family val="2"/>
          </rPr>
          <t xml:space="preserve">
10</t>
        </r>
        <r>
          <rPr>
            <b/>
            <sz val="8"/>
            <color indexed="81"/>
            <rFont val="Tahoma"/>
          </rPr>
          <t xml:space="preserve">  TNT                                               1.49e+6                  0.98
</t>
        </r>
        <r>
          <rPr>
            <b/>
            <sz val="8"/>
            <color indexed="10"/>
            <rFont val="Tahoma"/>
            <family val="2"/>
          </rPr>
          <t>11</t>
        </r>
        <r>
          <rPr>
            <b/>
            <sz val="8"/>
            <color indexed="81"/>
            <rFont val="Tahoma"/>
          </rPr>
          <t xml:space="preserve">  PowerDitch 1000                      1.79e+6                  1.18
</t>
        </r>
        <r>
          <rPr>
            <b/>
            <sz val="8"/>
            <color indexed="10"/>
            <rFont val="Tahoma"/>
            <family val="2"/>
          </rPr>
          <t>12</t>
        </r>
        <r>
          <rPr>
            <b/>
            <sz val="8"/>
            <color indexed="81"/>
            <rFont val="Tahoma"/>
          </rPr>
          <t xml:space="preserve">  Petrogel                                      1.62E+6                  1.08
</t>
        </r>
        <r>
          <rPr>
            <b/>
            <sz val="8"/>
            <color indexed="10"/>
            <rFont val="Tahoma"/>
            <family val="2"/>
          </rPr>
          <t>13</t>
        </r>
        <r>
          <rPr>
            <b/>
            <sz val="8"/>
            <color indexed="81"/>
            <rFont val="Tahoma"/>
          </rPr>
          <t xml:space="preserve">  Powergel D                                 1.46E+6                  0.97
</t>
        </r>
        <r>
          <rPr>
            <b/>
            <sz val="8"/>
            <color indexed="10"/>
            <rFont val="Tahoma"/>
            <family val="2"/>
          </rPr>
          <t>14</t>
        </r>
        <r>
          <rPr>
            <b/>
            <sz val="8"/>
            <color indexed="81"/>
            <rFont val="Tahoma"/>
          </rPr>
          <t xml:space="preserve">  Unigel                                          1.72E+6                  1.14
</t>
        </r>
        <r>
          <rPr>
            <b/>
            <sz val="8"/>
            <color indexed="10"/>
            <rFont val="Tahoma"/>
            <family val="2"/>
          </rPr>
          <t>15</t>
        </r>
        <r>
          <rPr>
            <b/>
            <sz val="8"/>
            <color indexed="81"/>
            <rFont val="Tahoma"/>
          </rPr>
          <t xml:space="preserve">  ML - 400 Slurry                          1.50E+6                  1.00
</t>
        </r>
        <r>
          <rPr>
            <b/>
            <sz val="8"/>
            <color indexed="10"/>
            <rFont val="Tahoma"/>
            <family val="2"/>
          </rPr>
          <t>16</t>
        </r>
        <r>
          <rPr>
            <b/>
            <sz val="8"/>
            <color indexed="81"/>
            <rFont val="Tahoma"/>
          </rPr>
          <t xml:space="preserve">  Supergel                                      2.03E+6                  1.35
</t>
        </r>
        <r>
          <rPr>
            <b/>
            <sz val="8"/>
            <color indexed="10"/>
            <rFont val="Tahoma"/>
            <family val="2"/>
          </rPr>
          <t>**For More, See "</t>
        </r>
        <r>
          <rPr>
            <b/>
            <sz val="8"/>
            <color indexed="81"/>
            <rFont val="Tahoma"/>
            <family val="2"/>
          </rPr>
          <t>Data Charts</t>
        </r>
        <r>
          <rPr>
            <b/>
            <sz val="8"/>
            <color indexed="10"/>
            <rFont val="Tahoma"/>
            <family val="2"/>
          </rPr>
          <t>" tab
***Estimations Using the Data Above Are Usually 
       Sufficient</t>
        </r>
      </text>
    </comment>
    <comment ref="C38" authorId="1">
      <text>
        <r>
          <rPr>
            <b/>
            <sz val="8"/>
            <color indexed="48"/>
            <rFont val="Tahoma"/>
            <family val="2"/>
          </rPr>
          <t xml:space="preserve">Soil Type                                                                     Density (lb/ft^3)
</t>
        </r>
        <r>
          <rPr>
            <b/>
            <sz val="8"/>
            <color indexed="81"/>
            <rFont val="Tahoma"/>
            <family val="2"/>
          </rPr>
          <t xml:space="preserve">Granular Materials without Cohesion                            90-100               
Sand &amp; Gravel                                                                   110-120
Saturated Top Soil                                                           110-120
Clay                                                                                      110-120
Saturated Clay                                                                  120-130
Rock (Granite, Marble, Quartz)                                     165-180
Rock (Limestone, Sandstone)                                       125-180
Medium Dense Sand                                                         120-130
Dense Sand                                                                         120-130
Igneous Basalt                                                                   170-190
Lightweight Concrete                                                         70-115
Plain Concrete                                                                    140-160
Reinforced Concrete                                                         140-160
</t>
        </r>
        <r>
          <rPr>
            <b/>
            <sz val="8"/>
            <color indexed="10"/>
            <rFont val="Tahoma"/>
            <family val="2"/>
          </rPr>
          <t>** These assumptions are based primarily on how homogeneous the earth material is.  There may be more or less rock per square foot than another section of the blasting grid - contributing to a non-homogeneous dispersion of dirt and rock properties.  Depending on how dense the material is, the seismic waves may travel faster or slower.  The predicted values are based on general densities of surrounding dirt and rock.  For a more accurate density, conduct a ground survey.</t>
        </r>
      </text>
    </comment>
    <comment ref="C40" authorId="1">
      <text>
        <r>
          <rPr>
            <b/>
            <sz val="8"/>
            <color indexed="48"/>
            <rFont val="Tahoma"/>
            <family val="2"/>
          </rPr>
          <t xml:space="preserve">Soil Type                                                                    P-Wave Velocity
                                                                                           ( ft/sec )
</t>
        </r>
        <r>
          <rPr>
            <b/>
            <sz val="8"/>
            <color indexed="10"/>
            <rFont val="Tahoma"/>
            <family val="2"/>
          </rPr>
          <t>**Rough Estimated Guesses
**Use a Seismic P-Wave Calculation if Needed</t>
        </r>
        <r>
          <rPr>
            <b/>
            <sz val="8"/>
            <color indexed="48"/>
            <rFont val="Tahoma"/>
            <family val="2"/>
          </rPr>
          <t xml:space="preserve">
</t>
        </r>
        <r>
          <rPr>
            <b/>
            <sz val="8"/>
            <color indexed="81"/>
            <rFont val="Tahoma"/>
            <family val="2"/>
          </rPr>
          <t xml:space="preserve">Granular Materials without Cohesion                          100-500            
Sand &amp; Gravel                                                                    100-500
Saturated Top Soil                                                            100-500
Clay                                                                                       100-500
Saturated Clay                                                                   100-500
Rock (Granite, Marble, Quartz)                                 2000-5000
Rock (Limestone, Sandstone)                                   2000-5000
Medium Dense Sand                                                         100-500
Dense Sand                                                                         100-500
Igneous Basalt                                                               2000-5000
Lightweight Concrete                                                   2000-4000
Plain Concrete                                                                2000-5000
Reinforced Concrete                                                     2000-5000
15-25 ms for hard rock                                                        13,000
20-50 ms for softer rock                                                        9,800
35-75 ms for weak rock                                                         6,600
</t>
        </r>
        <r>
          <rPr>
            <b/>
            <sz val="8"/>
            <color indexed="10"/>
            <rFont val="Tahoma"/>
            <family val="2"/>
          </rPr>
          <t xml:space="preserve">*** These assumptions are based primarily on how homogeneous the earth material is.  There may be more or less rock per square foot than another section of the blasting grid - contributing to a non-homogeneous dispersion of dirt and rock properties.  Depending on how dense the material is, the seismic waves may travel faster or slower.  The predicted values are based on general velocities of surrounding dirt and rock.  For a more accurate measurement, conduct a seismic survey. </t>
        </r>
      </text>
    </comment>
    <comment ref="C42" authorId="1">
      <text>
        <r>
          <rPr>
            <b/>
            <sz val="8"/>
            <color indexed="48"/>
            <rFont val="Tahoma"/>
            <family val="2"/>
          </rPr>
          <t>P = 14.54*((55096-(Elevation-361))/(55096-(Elevation+361))</t>
        </r>
        <r>
          <rPr>
            <sz val="8"/>
            <color indexed="81"/>
            <rFont val="Tahoma"/>
          </rPr>
          <t xml:space="preserve">
</t>
        </r>
        <r>
          <rPr>
            <b/>
            <sz val="8"/>
            <color indexed="10"/>
            <rFont val="Tahoma"/>
            <family val="2"/>
          </rPr>
          <t>AGA Report No. 3 "Orifice Metering of Natural Gas", Part 3, page 23</t>
        </r>
      </text>
    </comment>
  </commentList>
</comments>
</file>

<file path=xl/comments5.xml><?xml version="1.0" encoding="utf-8"?>
<comments xmlns="http://schemas.openxmlformats.org/spreadsheetml/2006/main">
  <authors>
    <author>WILLIAMS COMPANIES, INC.</author>
    <author>Gulfmgh</author>
  </authors>
  <commentList>
    <comment ref="C8" authorId="0">
      <text>
        <r>
          <rPr>
            <b/>
            <sz val="8"/>
            <color indexed="81"/>
            <rFont val="Tahoma"/>
          </rPr>
          <t xml:space="preserve">E = 30,000,000 psi to
E = 29,500,000 psi.  
This program uses
E = 29,500,000 psi for Steel Pipe.
</t>
        </r>
      </text>
    </comment>
    <comment ref="C10" authorId="0">
      <text>
        <r>
          <rPr>
            <b/>
            <sz val="8"/>
            <color indexed="48"/>
            <rFont val="Tahoma"/>
            <family val="2"/>
          </rPr>
          <t xml:space="preserve"> Class             Maximum Allowable     Maximum Allowable 
                        Combined Stress           Combined Stress</t>
        </r>
        <r>
          <rPr>
            <b/>
            <sz val="8"/>
            <color indexed="81"/>
            <rFont val="Tahoma"/>
          </rPr>
          <t xml:space="preserve">
                 </t>
        </r>
        <r>
          <rPr>
            <b/>
            <sz val="8"/>
            <color indexed="10"/>
            <rFont val="Tahoma"/>
            <family val="2"/>
          </rPr>
          <t xml:space="preserve">       (Temporary)                 (Permanent)</t>
        </r>
        <r>
          <rPr>
            <b/>
            <sz val="8"/>
            <color indexed="81"/>
            <rFont val="Tahoma"/>
          </rPr>
          <t xml:space="preserve">          
                        </t>
        </r>
        <r>
          <rPr>
            <b/>
            <sz val="8"/>
            <color indexed="48"/>
            <rFont val="Tahoma"/>
            <family val="2"/>
          </rPr>
          <t>% SMYS                           % SMYS</t>
        </r>
        <r>
          <rPr>
            <b/>
            <sz val="8"/>
            <color indexed="81"/>
            <rFont val="Tahoma"/>
          </rPr>
          <t xml:space="preserve">
</t>
        </r>
        <r>
          <rPr>
            <b/>
            <sz val="8"/>
            <color indexed="48"/>
            <rFont val="Tahoma"/>
            <family val="2"/>
          </rPr>
          <t>ASME B31.G 2003 - 833.4 (b), (c)</t>
        </r>
        <r>
          <rPr>
            <b/>
            <sz val="8"/>
            <color indexed="81"/>
            <rFont val="Tahoma"/>
          </rPr>
          <t xml:space="preserve">
     </t>
        </r>
        <r>
          <rPr>
            <b/>
            <sz val="8"/>
            <color indexed="10"/>
            <rFont val="Tahoma"/>
            <family val="2"/>
          </rPr>
          <t>1</t>
        </r>
        <r>
          <rPr>
            <b/>
            <sz val="8"/>
            <color indexed="81"/>
            <rFont val="Tahoma"/>
          </rPr>
          <t xml:space="preserve">                 100%                               90%
     </t>
        </r>
        <r>
          <rPr>
            <b/>
            <sz val="8"/>
            <color indexed="10"/>
            <rFont val="Tahoma"/>
            <family val="2"/>
          </rPr>
          <t>2</t>
        </r>
        <r>
          <rPr>
            <b/>
            <sz val="8"/>
            <color indexed="81"/>
            <rFont val="Tahoma"/>
          </rPr>
          <t xml:space="preserve">                 100%                               90%                         
     </t>
        </r>
        <r>
          <rPr>
            <b/>
            <sz val="8"/>
            <color indexed="10"/>
            <rFont val="Tahoma"/>
            <family val="2"/>
          </rPr>
          <t xml:space="preserve">3 </t>
        </r>
        <r>
          <rPr>
            <b/>
            <sz val="8"/>
            <color indexed="81"/>
            <rFont val="Tahoma"/>
          </rPr>
          <t xml:space="preserve">                100%                               90%
     </t>
        </r>
        <r>
          <rPr>
            <b/>
            <sz val="8"/>
            <color indexed="10"/>
            <rFont val="Tahoma"/>
            <family val="2"/>
          </rPr>
          <t>4</t>
        </r>
        <r>
          <rPr>
            <b/>
            <sz val="8"/>
            <color indexed="81"/>
            <rFont val="Tahoma"/>
          </rPr>
          <t xml:space="preserve">                 100%                               90%
</t>
        </r>
        <r>
          <rPr>
            <b/>
            <sz val="8"/>
            <color indexed="48"/>
            <rFont val="Tahoma"/>
            <family val="2"/>
          </rPr>
          <t>WILLIAMS - GAS PIPELINE (post 2005)</t>
        </r>
        <r>
          <rPr>
            <b/>
            <sz val="8"/>
            <color indexed="81"/>
            <rFont val="Tahoma"/>
          </rPr>
          <t xml:space="preserve">
     </t>
        </r>
        <r>
          <rPr>
            <b/>
            <sz val="8"/>
            <color indexed="10"/>
            <rFont val="Tahoma"/>
            <family val="2"/>
          </rPr>
          <t>1</t>
        </r>
        <r>
          <rPr>
            <b/>
            <sz val="8"/>
            <color indexed="81"/>
            <rFont val="Tahoma"/>
          </rPr>
          <t xml:space="preserve">                 90%                                 80%
     </t>
        </r>
        <r>
          <rPr>
            <b/>
            <sz val="8"/>
            <color indexed="10"/>
            <rFont val="Tahoma"/>
            <family val="2"/>
          </rPr>
          <t>2</t>
        </r>
        <r>
          <rPr>
            <b/>
            <sz val="8"/>
            <color indexed="81"/>
            <rFont val="Tahoma"/>
          </rPr>
          <t xml:space="preserve">                 90%                                 80%                         
     </t>
        </r>
        <r>
          <rPr>
            <b/>
            <sz val="8"/>
            <color indexed="10"/>
            <rFont val="Tahoma"/>
            <family val="2"/>
          </rPr>
          <t>3</t>
        </r>
        <r>
          <rPr>
            <b/>
            <sz val="8"/>
            <color indexed="81"/>
            <rFont val="Tahoma"/>
          </rPr>
          <t xml:space="preserve">                 90%                                 80%
     </t>
        </r>
        <r>
          <rPr>
            <b/>
            <sz val="8"/>
            <color indexed="10"/>
            <rFont val="Tahoma"/>
            <family val="2"/>
          </rPr>
          <t xml:space="preserve">4 </t>
        </r>
        <r>
          <rPr>
            <b/>
            <sz val="8"/>
            <color indexed="81"/>
            <rFont val="Tahoma"/>
          </rPr>
          <t xml:space="preserve">                90%                                 80%
</t>
        </r>
        <r>
          <rPr>
            <b/>
            <sz val="8"/>
            <color indexed="48"/>
            <rFont val="Tahoma"/>
            <family val="2"/>
          </rPr>
          <t>PRE - ASME B31.G 2003 - 833.4 (b), (c)</t>
        </r>
        <r>
          <rPr>
            <b/>
            <sz val="8"/>
            <color indexed="81"/>
            <rFont val="Tahoma"/>
          </rPr>
          <t xml:space="preserve">
     </t>
        </r>
        <r>
          <rPr>
            <b/>
            <sz val="8"/>
            <color indexed="10"/>
            <rFont val="Tahoma"/>
            <family val="2"/>
          </rPr>
          <t>1</t>
        </r>
        <r>
          <rPr>
            <b/>
            <sz val="8"/>
            <color indexed="81"/>
            <rFont val="Tahoma"/>
          </rPr>
          <t xml:space="preserve">                 80%                                 80%
     </t>
        </r>
        <r>
          <rPr>
            <b/>
            <sz val="8"/>
            <color indexed="10"/>
            <rFont val="Tahoma"/>
            <family val="2"/>
          </rPr>
          <t>2</t>
        </r>
        <r>
          <rPr>
            <b/>
            <sz val="8"/>
            <color indexed="81"/>
            <rFont val="Tahoma"/>
          </rPr>
          <t xml:space="preserve">                 72%                                 72%                         
     </t>
        </r>
        <r>
          <rPr>
            <b/>
            <sz val="8"/>
            <color indexed="10"/>
            <rFont val="Tahoma"/>
            <family val="2"/>
          </rPr>
          <t>3</t>
        </r>
        <r>
          <rPr>
            <b/>
            <sz val="8"/>
            <color indexed="81"/>
            <rFont val="Tahoma"/>
          </rPr>
          <t xml:space="preserve">                 62%                                 62%
     </t>
        </r>
        <r>
          <rPr>
            <b/>
            <sz val="8"/>
            <color indexed="10"/>
            <rFont val="Tahoma"/>
            <family val="2"/>
          </rPr>
          <t>4</t>
        </r>
        <r>
          <rPr>
            <b/>
            <sz val="8"/>
            <color indexed="81"/>
            <rFont val="Tahoma"/>
          </rPr>
          <t xml:space="preserve">                 50%                                 50% </t>
        </r>
      </text>
    </comment>
    <comment ref="C11" authorId="1">
      <text>
        <r>
          <rPr>
            <b/>
            <sz val="8"/>
            <color indexed="12"/>
            <rFont val="Tahoma"/>
            <family val="2"/>
          </rPr>
          <t xml:space="preserve">COMMON EXPLOSIVES
</t>
        </r>
        <r>
          <rPr>
            <b/>
            <sz val="8"/>
            <color indexed="10"/>
            <rFont val="Tahoma"/>
            <family val="2"/>
          </rPr>
          <t xml:space="preserve">
#   </t>
        </r>
        <r>
          <rPr>
            <b/>
            <sz val="8"/>
            <color indexed="48"/>
            <rFont val="Tahoma"/>
            <family val="2"/>
          </rPr>
          <t xml:space="preserve">Explosive Type                         We  (ft-lbf/lbm)     n  </t>
        </r>
        <r>
          <rPr>
            <b/>
            <sz val="8"/>
            <color indexed="81"/>
            <rFont val="Tahoma"/>
            <family val="2"/>
          </rPr>
          <t xml:space="preserve">   </t>
        </r>
        <r>
          <rPr>
            <b/>
            <sz val="8"/>
            <color indexed="10"/>
            <rFont val="Tahoma"/>
            <family val="2"/>
          </rPr>
          <t xml:space="preserve">    
1    </t>
        </r>
        <r>
          <rPr>
            <b/>
            <sz val="8"/>
            <color indexed="81"/>
            <rFont val="Tahoma"/>
            <family val="2"/>
          </rPr>
          <t>ANFO (94/6)                              1.52e+6                   1</t>
        </r>
        <r>
          <rPr>
            <b/>
            <sz val="8"/>
            <color indexed="10"/>
            <rFont val="Tahoma"/>
            <family val="2"/>
          </rPr>
          <t xml:space="preserve">
2    </t>
        </r>
        <r>
          <rPr>
            <b/>
            <sz val="8"/>
            <color indexed="81"/>
            <rFont val="Tahoma"/>
            <family val="2"/>
          </rPr>
          <t>AN Low Density Dynamite     1.50e+6                   0.99</t>
        </r>
        <r>
          <rPr>
            <b/>
            <sz val="8"/>
            <color indexed="10"/>
            <rFont val="Tahoma"/>
            <family val="2"/>
          </rPr>
          <t xml:space="preserve">
3    </t>
        </r>
        <r>
          <rPr>
            <b/>
            <sz val="8"/>
            <color indexed="81"/>
            <rFont val="Tahoma"/>
            <family val="2"/>
          </rPr>
          <t>Comp B (60/40)                       1.70e+6                   1.12</t>
        </r>
        <r>
          <rPr>
            <b/>
            <sz val="8"/>
            <color indexed="10"/>
            <rFont val="Tahoma"/>
            <family val="2"/>
          </rPr>
          <t xml:space="preserve">
4    </t>
        </r>
        <r>
          <rPr>
            <b/>
            <sz val="8"/>
            <color indexed="81"/>
            <rFont val="Tahoma"/>
            <family val="2"/>
          </rPr>
          <t>Comp C-4                                   1.70e+6                   1.12</t>
        </r>
        <r>
          <rPr>
            <b/>
            <sz val="8"/>
            <color indexed="10"/>
            <rFont val="Tahoma"/>
            <family val="2"/>
          </rPr>
          <t xml:space="preserve">
5    </t>
        </r>
        <r>
          <rPr>
            <b/>
            <sz val="8"/>
            <color indexed="81"/>
            <rFont val="Tahoma"/>
            <family val="2"/>
          </rPr>
          <t>HBX - 1                                        1.30e+6                   0.83</t>
        </r>
        <r>
          <rPr>
            <b/>
            <sz val="8"/>
            <color indexed="10"/>
            <rFont val="Tahoma"/>
            <family val="2"/>
          </rPr>
          <t xml:space="preserve">
6    </t>
        </r>
        <r>
          <rPr>
            <b/>
            <sz val="8"/>
            <color indexed="81"/>
            <rFont val="Tahoma"/>
            <family val="2"/>
          </rPr>
          <t>NG Dynamite (40%)                1.59e+6                  1.05</t>
        </r>
        <r>
          <rPr>
            <b/>
            <sz val="8"/>
            <color indexed="10"/>
            <rFont val="Tahoma"/>
            <family val="2"/>
          </rPr>
          <t xml:space="preserve">
7    </t>
        </r>
        <r>
          <rPr>
            <b/>
            <sz val="8"/>
            <color indexed="81"/>
            <rFont val="Tahoma"/>
            <family val="2"/>
          </rPr>
          <t>NG Dynamite (60%)                1.70e+6                  1.12</t>
        </r>
        <r>
          <rPr>
            <b/>
            <sz val="8"/>
            <color indexed="10"/>
            <rFont val="Tahoma"/>
            <family val="2"/>
          </rPr>
          <t xml:space="preserve">
8    </t>
        </r>
        <r>
          <rPr>
            <b/>
            <sz val="8"/>
            <color indexed="81"/>
            <rFont val="Tahoma"/>
            <family val="2"/>
          </rPr>
          <t>Pentolite (50/50)                     1.68e+6                  1.11</t>
        </r>
        <r>
          <rPr>
            <b/>
            <sz val="8"/>
            <color indexed="10"/>
            <rFont val="Tahoma"/>
            <family val="2"/>
          </rPr>
          <t xml:space="preserve">
9    </t>
        </r>
        <r>
          <rPr>
            <b/>
            <sz val="8"/>
            <color indexed="81"/>
            <rFont val="Tahoma"/>
            <family val="2"/>
          </rPr>
          <t>RDX                                              1.76e+6                  1.16</t>
        </r>
        <r>
          <rPr>
            <b/>
            <sz val="8"/>
            <color indexed="10"/>
            <rFont val="Tahoma"/>
            <family val="2"/>
          </rPr>
          <t xml:space="preserve">
10</t>
        </r>
        <r>
          <rPr>
            <b/>
            <sz val="8"/>
            <color indexed="81"/>
            <rFont val="Tahoma"/>
          </rPr>
          <t xml:space="preserve">  TNT                                               1.49e+6                  0.98
</t>
        </r>
        <r>
          <rPr>
            <b/>
            <sz val="8"/>
            <color indexed="10"/>
            <rFont val="Tahoma"/>
            <family val="2"/>
          </rPr>
          <t>11</t>
        </r>
        <r>
          <rPr>
            <b/>
            <sz val="8"/>
            <color indexed="81"/>
            <rFont val="Tahoma"/>
          </rPr>
          <t xml:space="preserve">  PowerDitch 1000                      1.79e+6                  1.18
</t>
        </r>
        <r>
          <rPr>
            <b/>
            <sz val="8"/>
            <color indexed="10"/>
            <rFont val="Tahoma"/>
            <family val="2"/>
          </rPr>
          <t>12</t>
        </r>
        <r>
          <rPr>
            <b/>
            <sz val="8"/>
            <color indexed="81"/>
            <rFont val="Tahoma"/>
          </rPr>
          <t xml:space="preserve">  Petrogel                                      1.62E+6                  1.08
</t>
        </r>
        <r>
          <rPr>
            <b/>
            <sz val="8"/>
            <color indexed="10"/>
            <rFont val="Tahoma"/>
            <family val="2"/>
          </rPr>
          <t>13</t>
        </r>
        <r>
          <rPr>
            <b/>
            <sz val="8"/>
            <color indexed="81"/>
            <rFont val="Tahoma"/>
          </rPr>
          <t xml:space="preserve">  Powergel D                                 1.46E+6                  0.97
</t>
        </r>
        <r>
          <rPr>
            <b/>
            <sz val="8"/>
            <color indexed="10"/>
            <rFont val="Tahoma"/>
            <family val="2"/>
          </rPr>
          <t>14</t>
        </r>
        <r>
          <rPr>
            <b/>
            <sz val="8"/>
            <color indexed="81"/>
            <rFont val="Tahoma"/>
          </rPr>
          <t xml:space="preserve">  Unigel                                          1.72E+6                  1.14
</t>
        </r>
        <r>
          <rPr>
            <b/>
            <sz val="8"/>
            <color indexed="10"/>
            <rFont val="Tahoma"/>
            <family val="2"/>
          </rPr>
          <t>15</t>
        </r>
        <r>
          <rPr>
            <b/>
            <sz val="8"/>
            <color indexed="81"/>
            <rFont val="Tahoma"/>
          </rPr>
          <t xml:space="preserve">  ML - 400 Slurry                          1.50E+6                  1.00
</t>
        </r>
        <r>
          <rPr>
            <b/>
            <sz val="8"/>
            <color indexed="10"/>
            <rFont val="Tahoma"/>
            <family val="2"/>
          </rPr>
          <t>16</t>
        </r>
        <r>
          <rPr>
            <b/>
            <sz val="8"/>
            <color indexed="81"/>
            <rFont val="Tahoma"/>
          </rPr>
          <t xml:space="preserve">  Supergel                                      2.03E+6                  1.35
</t>
        </r>
        <r>
          <rPr>
            <b/>
            <sz val="8"/>
            <color indexed="10"/>
            <rFont val="Tahoma"/>
            <family val="2"/>
          </rPr>
          <t>**For More, See "</t>
        </r>
        <r>
          <rPr>
            <b/>
            <sz val="8"/>
            <color indexed="81"/>
            <rFont val="Tahoma"/>
            <family val="2"/>
          </rPr>
          <t>Data Charts</t>
        </r>
        <r>
          <rPr>
            <b/>
            <sz val="8"/>
            <color indexed="10"/>
            <rFont val="Tahoma"/>
            <family val="2"/>
          </rPr>
          <t>" tab
***Estimations Using the Data Above Are Usually 
       Sufficient</t>
        </r>
      </text>
    </comment>
    <comment ref="C26" authorId="0">
      <text>
        <r>
          <rPr>
            <b/>
            <sz val="8"/>
            <color indexed="81"/>
            <rFont val="Tahoma"/>
          </rPr>
          <t xml:space="preserve">If the spacing between charges is larger than the standoff distance, each separate charge should be analyzed as a single point source.
                               </t>
        </r>
        <r>
          <rPr>
            <b/>
            <sz val="8"/>
            <color indexed="10"/>
            <rFont val="Tahoma"/>
            <family val="2"/>
          </rPr>
          <t xml:space="preserve"> "PRCI/AGA Report No. L51406"</t>
        </r>
      </text>
    </comment>
    <comment ref="C28" authorId="0">
      <text>
        <r>
          <rPr>
            <b/>
            <sz val="8"/>
            <color indexed="81"/>
            <rFont val="Tahoma"/>
          </rPr>
          <t xml:space="preserve">Analyses of the data indicated that as long as R &lt;= 1.5L, good agreement ocurred with the parallel line source solution.
                               </t>
        </r>
        <r>
          <rPr>
            <b/>
            <sz val="8"/>
            <color indexed="10"/>
            <rFont val="Tahoma"/>
            <family val="2"/>
          </rPr>
          <t>"PRCI/AGA Report No. L51406</t>
        </r>
      </text>
    </comment>
    <comment ref="C39" authorId="1">
      <text>
        <r>
          <rPr>
            <b/>
            <sz val="8"/>
            <color indexed="12"/>
            <rFont val="Tahoma"/>
            <family val="2"/>
          </rPr>
          <t xml:space="preserve">COMMON EXPLOSIVES
</t>
        </r>
        <r>
          <rPr>
            <b/>
            <sz val="8"/>
            <color indexed="10"/>
            <rFont val="Tahoma"/>
            <family val="2"/>
          </rPr>
          <t xml:space="preserve">
#   </t>
        </r>
        <r>
          <rPr>
            <b/>
            <sz val="8"/>
            <color indexed="48"/>
            <rFont val="Tahoma"/>
            <family val="2"/>
          </rPr>
          <t xml:space="preserve">Explosive Type                         We  (ft-lbf/lbm)     n  </t>
        </r>
        <r>
          <rPr>
            <b/>
            <sz val="8"/>
            <color indexed="81"/>
            <rFont val="Tahoma"/>
            <family val="2"/>
          </rPr>
          <t xml:space="preserve">   </t>
        </r>
        <r>
          <rPr>
            <b/>
            <sz val="8"/>
            <color indexed="10"/>
            <rFont val="Tahoma"/>
            <family val="2"/>
          </rPr>
          <t xml:space="preserve">    
1    </t>
        </r>
        <r>
          <rPr>
            <b/>
            <sz val="8"/>
            <color indexed="81"/>
            <rFont val="Tahoma"/>
            <family val="2"/>
          </rPr>
          <t>ANFO (94/6)                              1.52e+6                   1</t>
        </r>
        <r>
          <rPr>
            <b/>
            <sz val="8"/>
            <color indexed="10"/>
            <rFont val="Tahoma"/>
            <family val="2"/>
          </rPr>
          <t xml:space="preserve">
2    </t>
        </r>
        <r>
          <rPr>
            <b/>
            <sz val="8"/>
            <color indexed="81"/>
            <rFont val="Tahoma"/>
            <family val="2"/>
          </rPr>
          <t>AN Low Density Dynamite     1.50e+6                   0.99</t>
        </r>
        <r>
          <rPr>
            <b/>
            <sz val="8"/>
            <color indexed="10"/>
            <rFont val="Tahoma"/>
            <family val="2"/>
          </rPr>
          <t xml:space="preserve">
3    </t>
        </r>
        <r>
          <rPr>
            <b/>
            <sz val="8"/>
            <color indexed="81"/>
            <rFont val="Tahoma"/>
            <family val="2"/>
          </rPr>
          <t>Comp B (60/40)                       1.70e+6                   1.12</t>
        </r>
        <r>
          <rPr>
            <b/>
            <sz val="8"/>
            <color indexed="10"/>
            <rFont val="Tahoma"/>
            <family val="2"/>
          </rPr>
          <t xml:space="preserve">
4    </t>
        </r>
        <r>
          <rPr>
            <b/>
            <sz val="8"/>
            <color indexed="81"/>
            <rFont val="Tahoma"/>
            <family val="2"/>
          </rPr>
          <t>Comp C-4                                   1.70e+6                   1.12</t>
        </r>
        <r>
          <rPr>
            <b/>
            <sz val="8"/>
            <color indexed="10"/>
            <rFont val="Tahoma"/>
            <family val="2"/>
          </rPr>
          <t xml:space="preserve">
5    </t>
        </r>
        <r>
          <rPr>
            <b/>
            <sz val="8"/>
            <color indexed="81"/>
            <rFont val="Tahoma"/>
            <family val="2"/>
          </rPr>
          <t>HBX - 1                                        1.30e+6                   0.83</t>
        </r>
        <r>
          <rPr>
            <b/>
            <sz val="8"/>
            <color indexed="10"/>
            <rFont val="Tahoma"/>
            <family val="2"/>
          </rPr>
          <t xml:space="preserve">
6    </t>
        </r>
        <r>
          <rPr>
            <b/>
            <sz val="8"/>
            <color indexed="81"/>
            <rFont val="Tahoma"/>
            <family val="2"/>
          </rPr>
          <t>NG Dynamite (40%)                1.59e+6                  1.05</t>
        </r>
        <r>
          <rPr>
            <b/>
            <sz val="8"/>
            <color indexed="10"/>
            <rFont val="Tahoma"/>
            <family val="2"/>
          </rPr>
          <t xml:space="preserve">
7    </t>
        </r>
        <r>
          <rPr>
            <b/>
            <sz val="8"/>
            <color indexed="81"/>
            <rFont val="Tahoma"/>
            <family val="2"/>
          </rPr>
          <t>NG Dynamite (60%)                1.70e+6                  1.12</t>
        </r>
        <r>
          <rPr>
            <b/>
            <sz val="8"/>
            <color indexed="10"/>
            <rFont val="Tahoma"/>
            <family val="2"/>
          </rPr>
          <t xml:space="preserve">
8    </t>
        </r>
        <r>
          <rPr>
            <b/>
            <sz val="8"/>
            <color indexed="81"/>
            <rFont val="Tahoma"/>
            <family val="2"/>
          </rPr>
          <t>Pentolite (50/50)                     1.68e+6                  1.11</t>
        </r>
        <r>
          <rPr>
            <b/>
            <sz val="8"/>
            <color indexed="10"/>
            <rFont val="Tahoma"/>
            <family val="2"/>
          </rPr>
          <t xml:space="preserve">
9    </t>
        </r>
        <r>
          <rPr>
            <b/>
            <sz val="8"/>
            <color indexed="81"/>
            <rFont val="Tahoma"/>
            <family val="2"/>
          </rPr>
          <t>RDX                                              1.76e+6                  1.16</t>
        </r>
        <r>
          <rPr>
            <b/>
            <sz val="8"/>
            <color indexed="10"/>
            <rFont val="Tahoma"/>
            <family val="2"/>
          </rPr>
          <t xml:space="preserve">
10</t>
        </r>
        <r>
          <rPr>
            <b/>
            <sz val="8"/>
            <color indexed="81"/>
            <rFont val="Tahoma"/>
          </rPr>
          <t xml:space="preserve">  TNT                                               1.49e+6                  0.98
</t>
        </r>
        <r>
          <rPr>
            <b/>
            <sz val="8"/>
            <color indexed="10"/>
            <rFont val="Tahoma"/>
            <family val="2"/>
          </rPr>
          <t>11</t>
        </r>
        <r>
          <rPr>
            <b/>
            <sz val="8"/>
            <color indexed="81"/>
            <rFont val="Tahoma"/>
          </rPr>
          <t xml:space="preserve">  PowerDitch 1000                      1.79e+6                  1.18
</t>
        </r>
        <r>
          <rPr>
            <b/>
            <sz val="8"/>
            <color indexed="10"/>
            <rFont val="Tahoma"/>
            <family val="2"/>
          </rPr>
          <t>12</t>
        </r>
        <r>
          <rPr>
            <b/>
            <sz val="8"/>
            <color indexed="81"/>
            <rFont val="Tahoma"/>
          </rPr>
          <t xml:space="preserve">  Petrogel                                      1.62E+6                  1.08
</t>
        </r>
        <r>
          <rPr>
            <b/>
            <sz val="8"/>
            <color indexed="10"/>
            <rFont val="Tahoma"/>
            <family val="2"/>
          </rPr>
          <t>13</t>
        </r>
        <r>
          <rPr>
            <b/>
            <sz val="8"/>
            <color indexed="81"/>
            <rFont val="Tahoma"/>
          </rPr>
          <t xml:space="preserve">  Powergel D                                 1.46E+6                  0.97
</t>
        </r>
        <r>
          <rPr>
            <b/>
            <sz val="8"/>
            <color indexed="10"/>
            <rFont val="Tahoma"/>
            <family val="2"/>
          </rPr>
          <t>14</t>
        </r>
        <r>
          <rPr>
            <b/>
            <sz val="8"/>
            <color indexed="81"/>
            <rFont val="Tahoma"/>
          </rPr>
          <t xml:space="preserve">  Unigel                                          1.72E+6                  1.14
</t>
        </r>
        <r>
          <rPr>
            <b/>
            <sz val="8"/>
            <color indexed="10"/>
            <rFont val="Tahoma"/>
            <family val="2"/>
          </rPr>
          <t>15</t>
        </r>
        <r>
          <rPr>
            <b/>
            <sz val="8"/>
            <color indexed="81"/>
            <rFont val="Tahoma"/>
          </rPr>
          <t xml:space="preserve">  ML - 400 Slurry                          1.50E+6                  1.00
</t>
        </r>
        <r>
          <rPr>
            <b/>
            <sz val="8"/>
            <color indexed="10"/>
            <rFont val="Tahoma"/>
            <family val="2"/>
          </rPr>
          <t>16</t>
        </r>
        <r>
          <rPr>
            <b/>
            <sz val="8"/>
            <color indexed="81"/>
            <rFont val="Tahoma"/>
          </rPr>
          <t xml:space="preserve">  Supergel                                      2.03E+6                  1.35
</t>
        </r>
        <r>
          <rPr>
            <b/>
            <sz val="8"/>
            <color indexed="10"/>
            <rFont val="Tahoma"/>
            <family val="2"/>
          </rPr>
          <t>**For More, See "</t>
        </r>
        <r>
          <rPr>
            <b/>
            <sz val="8"/>
            <color indexed="81"/>
            <rFont val="Tahoma"/>
            <family val="2"/>
          </rPr>
          <t>Data Charts</t>
        </r>
        <r>
          <rPr>
            <b/>
            <sz val="8"/>
            <color indexed="10"/>
            <rFont val="Tahoma"/>
            <family val="2"/>
          </rPr>
          <t>" tab
***Estimations Using the Data Above Are Usually 
       Sufficient</t>
        </r>
      </text>
    </comment>
    <comment ref="C42" authorId="1">
      <text>
        <r>
          <rPr>
            <b/>
            <sz val="8"/>
            <color indexed="48"/>
            <rFont val="Tahoma"/>
            <family val="2"/>
          </rPr>
          <t xml:space="preserve">Soil Type                                                                     Density (lb/ft^3)
</t>
        </r>
        <r>
          <rPr>
            <b/>
            <sz val="8"/>
            <color indexed="81"/>
            <rFont val="Tahoma"/>
            <family val="2"/>
          </rPr>
          <t xml:space="preserve">Granular Materials without Cohesion                            90-100               
Sand &amp; Gravel                                                                   110-120
Saturated Top Soil                                                           110-120
Clay                                                                                      110-120
Saturated Clay                                                                  120-130
Rock (Granite, Marble, Quartz)                                     165-180
Rock (Limestone, Sandstone)                                       125-180
Medium Dense Sand                                                         120-130
Dense Sand                                                                         120-130
Igneous Basalt                                                                   170-190
Lightweight Concrete                                                         70-115
Plain Concrete                                                                    140-160
Reinforced Concrete                                                         140-160
</t>
        </r>
        <r>
          <rPr>
            <b/>
            <sz val="8"/>
            <color indexed="10"/>
            <rFont val="Tahoma"/>
            <family val="2"/>
          </rPr>
          <t>** These assumptions are based primarily on how homogeneous the earth material is.  There may be more or less rock per square foot than another section of the blasting grid - contributing to a non-homogeneous dispersion of dirt and rock properties.  Depending on how dense the material is, the seismic waves may travel faster or slower.  The predicted values are based on general densities of surrounding dirt and rock.  For a more accurate density, conduct a ground survey.</t>
        </r>
      </text>
    </comment>
    <comment ref="C44" authorId="1">
      <text>
        <r>
          <rPr>
            <b/>
            <sz val="8"/>
            <color indexed="48"/>
            <rFont val="Tahoma"/>
            <family val="2"/>
          </rPr>
          <t xml:space="preserve">Soil Type                                                                    P-Wave Velocity
                                                                                           ( ft/sec )
</t>
        </r>
        <r>
          <rPr>
            <b/>
            <sz val="8"/>
            <color indexed="10"/>
            <rFont val="Tahoma"/>
            <family val="2"/>
          </rPr>
          <t>**Rough Estimated Guesses
**Use a Seismic P-Wave Calculation if Needed</t>
        </r>
        <r>
          <rPr>
            <b/>
            <sz val="8"/>
            <color indexed="48"/>
            <rFont val="Tahoma"/>
            <family val="2"/>
          </rPr>
          <t xml:space="preserve">
</t>
        </r>
        <r>
          <rPr>
            <b/>
            <sz val="8"/>
            <color indexed="81"/>
            <rFont val="Tahoma"/>
            <family val="2"/>
          </rPr>
          <t xml:space="preserve">Granular Materials without Cohesion                          100-500            
Sand &amp; Gravel                                                                    100-500
Saturated Top Soil                                                            100-500
Clay                                                                                       100-500
Saturated Clay                                                                   100-500
Rock (Granite, Marble, Quartz)                                 2000-5000
Rock (Limestone, Sandstone)                                   2000-5000
Medium Dense Sand                                                         100-500
Dense Sand                                                                         100-500
Igneous Basalt                                                               2000-5000
Lightweight Concrete                                                   2000-4000
Plain Concrete                                                                2000-5000
Reinforced Concrete                                                     2000-5000
15-25 ms for hard rock                                                        13,000
20-50 ms for softer rock                                                        9,800
35-75 ms for weak rock                                                         6,600
</t>
        </r>
        <r>
          <rPr>
            <b/>
            <sz val="8"/>
            <color indexed="10"/>
            <rFont val="Tahoma"/>
            <family val="2"/>
          </rPr>
          <t>*** These assumptions are based primarily on how homogeneous the earth material is.  There may be more or less rock per square foot than another section of the blasting grid - contributing to a non-homogeneous dispersion of dirt and rock properties.  Depending on how dense the material is, the seismic waves may travel faster or slower.  The predicted values are based on general velocities of surrounding dirt and rock.  For a more accurate measurement, conduct a seismic survey.</t>
        </r>
      </text>
    </comment>
    <comment ref="C46" authorId="1">
      <text>
        <r>
          <rPr>
            <b/>
            <sz val="8"/>
            <color indexed="48"/>
            <rFont val="Tahoma"/>
            <family val="2"/>
          </rPr>
          <t>P = 14.54*((55096-(Elevation-361))/(55096-(Elevation+361))</t>
        </r>
        <r>
          <rPr>
            <sz val="8"/>
            <color indexed="81"/>
            <rFont val="Tahoma"/>
          </rPr>
          <t xml:space="preserve">
</t>
        </r>
        <r>
          <rPr>
            <b/>
            <sz val="8"/>
            <color indexed="10"/>
            <rFont val="Tahoma"/>
            <family val="2"/>
          </rPr>
          <t>AGA Report No. 3 "Orifice Metering of Natural Gas", Part 3, page 23</t>
        </r>
      </text>
    </comment>
    <comment ref="C49" authorId="0">
      <text>
        <r>
          <rPr>
            <b/>
            <sz val="8"/>
            <color indexed="81"/>
            <rFont val="Tahoma"/>
          </rPr>
          <t xml:space="preserve">R is used instead of Rgcg in the case of R &gt;= 1.5L because results with a Parallel Grid correlate well with results of a Parallel Line.
             </t>
        </r>
        <r>
          <rPr>
            <b/>
            <sz val="8"/>
            <color indexed="10"/>
            <rFont val="Tahoma"/>
            <family val="2"/>
          </rPr>
          <t>"PRCI/AGA Report No. L51406"</t>
        </r>
        <r>
          <rPr>
            <b/>
            <sz val="8"/>
            <color indexed="81"/>
            <rFont val="Tahoma"/>
          </rPr>
          <t xml:space="preserve">
</t>
        </r>
      </text>
    </comment>
  </commentList>
</comments>
</file>

<file path=xl/sharedStrings.xml><?xml version="1.0" encoding="utf-8"?>
<sst xmlns="http://schemas.openxmlformats.org/spreadsheetml/2006/main" count="780" uniqueCount="302">
  <si>
    <t>W =</t>
  </si>
  <si>
    <t>lbm</t>
  </si>
  <si>
    <t>Type of Explosive</t>
  </si>
  <si>
    <t>ft-lbf/lbm</t>
  </si>
  <si>
    <t>We =</t>
  </si>
  <si>
    <t>ft-lbf</t>
  </si>
  <si>
    <t>Density of Medium</t>
  </si>
  <si>
    <t>p =</t>
  </si>
  <si>
    <t>lbm/ft^3</t>
  </si>
  <si>
    <t>which is</t>
  </si>
  <si>
    <t>c =</t>
  </si>
  <si>
    <t>ft/sec</t>
  </si>
  <si>
    <t>lbf-sec^2/ft^4</t>
  </si>
  <si>
    <t>R =</t>
  </si>
  <si>
    <t>ft</t>
  </si>
  <si>
    <t>A =</t>
  </si>
  <si>
    <t>Po =</t>
  </si>
  <si>
    <t>psi</t>
  </si>
  <si>
    <t>psf</t>
  </si>
  <si>
    <t>Scaled Energy Release Ratio</t>
  </si>
  <si>
    <t>B =</t>
  </si>
  <si>
    <t>Peak Radial Ground Displacement</t>
  </si>
  <si>
    <t>X =</t>
  </si>
  <si>
    <t>in</t>
  </si>
  <si>
    <t>U =</t>
  </si>
  <si>
    <t>in/sec</t>
  </si>
  <si>
    <t>Explosive</t>
  </si>
  <si>
    <t>ANFO (94/6)</t>
  </si>
  <si>
    <t>AN Low Density Dynamite</t>
  </si>
  <si>
    <t>Comp B (60/40)</t>
  </si>
  <si>
    <t>Comp C-4</t>
  </si>
  <si>
    <t>HBX - 1</t>
  </si>
  <si>
    <t>NG Dynamite (40%)</t>
  </si>
  <si>
    <t>NG Dynamite (60%)</t>
  </si>
  <si>
    <t>Pentolite (50/50)</t>
  </si>
  <si>
    <t>RDX</t>
  </si>
  <si>
    <t>TNT</t>
  </si>
  <si>
    <t>We</t>
  </si>
  <si>
    <t>#</t>
  </si>
  <si>
    <t>n</t>
  </si>
  <si>
    <t>Nominal Pipe Size</t>
  </si>
  <si>
    <t>D =</t>
  </si>
  <si>
    <t>Wall Thickness</t>
  </si>
  <si>
    <t>t =</t>
  </si>
  <si>
    <t>Pipe Grade</t>
  </si>
  <si>
    <t>SMYS =</t>
  </si>
  <si>
    <t>Maximum Allowable Combined Stress Level - SMYS %</t>
  </si>
  <si>
    <t>% =</t>
  </si>
  <si>
    <t>%</t>
  </si>
  <si>
    <t>Maximum Allowable Operating Pressure - MAOP</t>
  </si>
  <si>
    <t>MAOP =</t>
  </si>
  <si>
    <t>psig</t>
  </si>
  <si>
    <t>n =</t>
  </si>
  <si>
    <t>Number of Charges in Explosive Line</t>
  </si>
  <si>
    <t>Spacing Length Between Charges in Explosive Line</t>
  </si>
  <si>
    <t>Spacing Length Between Explosive Lines</t>
  </si>
  <si>
    <t>Perpendicular Distance of Charge to Pipeline</t>
  </si>
  <si>
    <t>Perpendicular Distance of the Nearest Row to Pipeline</t>
  </si>
  <si>
    <t>N1 =</t>
  </si>
  <si>
    <t>N2 =</t>
  </si>
  <si>
    <t>L1 =</t>
  </si>
  <si>
    <t>L2 =</t>
  </si>
  <si>
    <t>deg</t>
  </si>
  <si>
    <t>Atmospheric Pressure at Elevation</t>
  </si>
  <si>
    <t>AA =</t>
  </si>
  <si>
    <t>BB =</t>
  </si>
  <si>
    <t>Wee =</t>
  </si>
  <si>
    <t>Equivalent Energy Release Ratio</t>
  </si>
  <si>
    <t>Seismic P-Wave Velocity Through Medium</t>
  </si>
  <si>
    <t>Compressibility Ratio Coupling Term</t>
  </si>
  <si>
    <t>mm</t>
  </si>
  <si>
    <t>Weight of Each Explosive</t>
  </si>
  <si>
    <t>Explosive Energy Release of Each Explosive</t>
  </si>
  <si>
    <t>Explosive Energy Release of 1 lbm of this Explosive</t>
  </si>
  <si>
    <t>Rgcl =</t>
  </si>
  <si>
    <t>Rgcg =</t>
  </si>
  <si>
    <t>Sc =</t>
  </si>
  <si>
    <t>Hoop Stress</t>
  </si>
  <si>
    <t>Sh =</t>
  </si>
  <si>
    <t>S =</t>
  </si>
  <si>
    <t>DFc =</t>
  </si>
  <si>
    <r>
      <t>Part 1</t>
    </r>
    <r>
      <rPr>
        <sz val="18"/>
        <rFont val="Arial"/>
        <family val="2"/>
      </rPr>
      <t xml:space="preserve"> - Total Combined Stress</t>
    </r>
  </si>
  <si>
    <r>
      <t>Part 2</t>
    </r>
    <r>
      <rPr>
        <sz val="18"/>
        <rFont val="Arial"/>
        <family val="2"/>
      </rPr>
      <t xml:space="preserve"> - Peak Particle Velocity - PPV</t>
    </r>
  </si>
  <si>
    <t>Status:</t>
  </si>
  <si>
    <t>Modulus of Elasticity of Steel Pipe</t>
  </si>
  <si>
    <t>E =</t>
  </si>
  <si>
    <t>Maximum Circumferential Strain</t>
  </si>
  <si>
    <t>in/in</t>
  </si>
  <si>
    <t>Maximum Longitudinal Strain</t>
  </si>
  <si>
    <t>ecir =</t>
  </si>
  <si>
    <t>elong =</t>
  </si>
  <si>
    <t>Total Charge Weight of Entire Explosive Line</t>
  </si>
  <si>
    <t>W1 =</t>
  </si>
  <si>
    <t>Total Length of Entire Explosive Line</t>
  </si>
  <si>
    <t>L =</t>
  </si>
  <si>
    <t>Number of Rows Making Up the Explosive Grid</t>
  </si>
  <si>
    <t>Spacing Length Between Charges in Explosive Lines</t>
  </si>
  <si>
    <t>Perpendicular Distance to Geometric Center of the Grid</t>
  </si>
  <si>
    <t>Angle Between Pipeline and Explosive Line</t>
  </si>
  <si>
    <t>Weight of Each Charge in Explosive Line</t>
  </si>
  <si>
    <t>Perpendicular Distance of the Nearest Charge to Pipeline</t>
  </si>
  <si>
    <t>Perpendicular Distance to Geometric Center Line</t>
  </si>
  <si>
    <t>Total Combined Stress - Von Mises Criteria @ R</t>
  </si>
  <si>
    <t>Calculated Combined Stress Design Factor @ R</t>
  </si>
  <si>
    <t>Perpendicular Distance of the Nearest Charge</t>
  </si>
  <si>
    <t>Circumferential / Longitudinal Stress Caused by Blasting @ R</t>
  </si>
  <si>
    <t xml:space="preserve">   Is   R/L  &lt;  1.0  ?</t>
  </si>
  <si>
    <t xml:space="preserve">   Is   L1    &gt;  R    ?</t>
  </si>
  <si>
    <t>R = A =</t>
  </si>
  <si>
    <t>Total Combined Hoop Stress and Circumferential Stress @ R</t>
  </si>
  <si>
    <t>St =</t>
  </si>
  <si>
    <t>Weight of Explosive</t>
  </si>
  <si>
    <t>Explosive Energy Release of Entire Explosive</t>
  </si>
  <si>
    <t>Weee =</t>
  </si>
  <si>
    <t>Explosive Energy Release of Entire Explosive Line</t>
  </si>
  <si>
    <t>Explosive Energy Release of Entire Explosive Grid</t>
  </si>
  <si>
    <t>Perpendicular Standoff Distance of Equivalent Parallel Line</t>
  </si>
  <si>
    <t>Peak Radial Ground Particle Velocity - PPV</t>
  </si>
  <si>
    <t>Total Charge Weight of Entire Explosive Grid</t>
  </si>
  <si>
    <t>PowerDitch 1000</t>
  </si>
  <si>
    <t xml:space="preserve"> = Input Values</t>
  </si>
  <si>
    <t xml:space="preserve"> = Output Values</t>
  </si>
  <si>
    <t>Ele =</t>
  </si>
  <si>
    <t>Elevation of Blasting Site Above Sea Level</t>
  </si>
  <si>
    <t>psia</t>
  </si>
  <si>
    <t>PPPV</t>
  </si>
  <si>
    <t xml:space="preserve"> = Predicted Peak Particle Velocity</t>
  </si>
  <si>
    <t>k</t>
  </si>
  <si>
    <t>R</t>
  </si>
  <si>
    <t xml:space="preserve"> = Distance from Blast to Structure of Question</t>
  </si>
  <si>
    <t>W</t>
  </si>
  <si>
    <t xml:space="preserve"> = Energy of Source or Rated Energy of Impact Hammer</t>
  </si>
  <si>
    <t xml:space="preserve"> = Ground Transmission Contact (Velocity of Unit of Distance)</t>
  </si>
  <si>
    <t>b</t>
  </si>
  <si>
    <t xml:space="preserve"> = a slope in a log-log plot between 1.0 and 2.0 with an average value of 1.5</t>
  </si>
  <si>
    <t>k =</t>
  </si>
  <si>
    <t>feet</t>
  </si>
  <si>
    <t>b =</t>
  </si>
  <si>
    <t>PPPV =</t>
  </si>
  <si>
    <t>inches per second</t>
  </si>
  <si>
    <t xml:space="preserve"> = Weight of Explosives in pounds fired with delay of 8 ms or more</t>
  </si>
  <si>
    <t>D</t>
  </si>
  <si>
    <t xml:space="preserve"> = Actual Distance from Blast in feet</t>
  </si>
  <si>
    <t>Ds</t>
  </si>
  <si>
    <t xml:space="preserve"> = Scale Distance</t>
  </si>
  <si>
    <t>Ds =</t>
  </si>
  <si>
    <t>lbs</t>
  </si>
  <si>
    <t>A minimum scaled distance of 50 will be used for residential structures.</t>
  </si>
  <si>
    <t>A minimum scaled distance of 15 will be used for the pipeline.</t>
  </si>
  <si>
    <t xml:space="preserve">   Is   L1  &gt;    R   ?</t>
  </si>
  <si>
    <r>
      <t xml:space="preserve">PipeBlast - </t>
    </r>
    <r>
      <rPr>
        <b/>
        <sz val="14"/>
        <color indexed="48"/>
        <rFont val="Arial"/>
        <family val="2"/>
      </rPr>
      <t>Single Point Explosive Charge</t>
    </r>
  </si>
  <si>
    <r>
      <t xml:space="preserve">PipeBlast - </t>
    </r>
    <r>
      <rPr>
        <b/>
        <sz val="14"/>
        <color indexed="48"/>
        <rFont val="Arial"/>
        <family val="2"/>
      </rPr>
      <t>Parallel Line Explosive Charge</t>
    </r>
  </si>
  <si>
    <r>
      <t xml:space="preserve">PipeBlast - </t>
    </r>
    <r>
      <rPr>
        <b/>
        <sz val="14"/>
        <color indexed="48"/>
        <rFont val="Arial"/>
        <family val="2"/>
      </rPr>
      <t>Parallel Grid Explosive Charge</t>
    </r>
  </si>
  <si>
    <r>
      <t xml:space="preserve">PipeBlast - </t>
    </r>
    <r>
      <rPr>
        <b/>
        <sz val="14"/>
        <color indexed="48"/>
        <rFont val="Arial"/>
        <family val="2"/>
      </rPr>
      <t>Angled Line Explosive Charge</t>
    </r>
  </si>
  <si>
    <r>
      <t xml:space="preserve">PipeBlast - </t>
    </r>
    <r>
      <rPr>
        <b/>
        <sz val="14"/>
        <color indexed="48"/>
        <rFont val="Arial"/>
        <family val="2"/>
      </rPr>
      <t>Angled Grid Explosive Charge</t>
    </r>
  </si>
  <si>
    <t>lb/ft^2</t>
  </si>
  <si>
    <t>Total Charge Weight of First Explosive Row</t>
  </si>
  <si>
    <t xml:space="preserve">R/L = </t>
  </si>
  <si>
    <t xml:space="preserve">1.5*L = </t>
  </si>
  <si>
    <t xml:space="preserve">   Is   R/L  &lt; =  1.0  ?</t>
  </si>
  <si>
    <t xml:space="preserve">   Is   R   &lt;=  1.5*L   ?</t>
  </si>
  <si>
    <t>where</t>
  </si>
  <si>
    <r>
      <t xml:space="preserve">Peak Radial Ground Particle Velocity - </t>
    </r>
    <r>
      <rPr>
        <sz val="10"/>
        <rFont val="Arial"/>
        <family val="2"/>
      </rPr>
      <t>PPV</t>
    </r>
  </si>
  <si>
    <r>
      <t>Peak Radial Ground Particle Velocity -</t>
    </r>
    <r>
      <rPr>
        <sz val="10"/>
        <rFont val="Arial"/>
        <family val="2"/>
      </rPr>
      <t xml:space="preserve"> PPV</t>
    </r>
  </si>
  <si>
    <t xml:space="preserve">   Is   A   &lt; =  1.5*L   ?</t>
  </si>
  <si>
    <t>Pipe Grade - Specific Mean Yield Stress</t>
  </si>
  <si>
    <t>Dynagel 205/High Explosive Water Gel</t>
  </si>
  <si>
    <t>Dynagel 209/High Explosive Water Gel</t>
  </si>
  <si>
    <t>Dynaprime Booster/High Explosive Water Gel</t>
  </si>
  <si>
    <t>Dry Hole Blasting Agent - Carbamite P</t>
  </si>
  <si>
    <t>Dry Hole Blasting Agent - Carbamite PB</t>
  </si>
  <si>
    <t>Atlas 7D/High Explosive Permissible Emulsion</t>
  </si>
  <si>
    <t>Apex Bulk Emulsions 220 - 230</t>
  </si>
  <si>
    <t>Apex Bulk Emulsions 240 - 340</t>
  </si>
  <si>
    <t>Apex Bulk Emulsions 260 - 360</t>
  </si>
  <si>
    <t>Coalite BP</t>
  </si>
  <si>
    <t>Coalite 5P</t>
  </si>
  <si>
    <t>Coalite 6Y</t>
  </si>
  <si>
    <t>Coalite 5MR</t>
  </si>
  <si>
    <t>Coalite 5U</t>
  </si>
  <si>
    <t>Coalite 5LR</t>
  </si>
  <si>
    <t>Coalite 8S</t>
  </si>
  <si>
    <t>Coalite 8R</t>
  </si>
  <si>
    <t>Gelcoalite Z</t>
  </si>
  <si>
    <t>Extra dynamite/ General Purpose Ammonia Dynamite</t>
  </si>
  <si>
    <t>Florigel 330</t>
  </si>
  <si>
    <t>Gelmax/Semigelatin Dynamite</t>
  </si>
  <si>
    <t>Giant Gelatin</t>
  </si>
  <si>
    <t>Hi-Prime/Multi-Purpose Primer</t>
  </si>
  <si>
    <t>Petrogel</t>
  </si>
  <si>
    <t>PowerAn - Bulk</t>
  </si>
  <si>
    <t>Packaged PowerAn 300</t>
  </si>
  <si>
    <t>Packaged PowerAn 500</t>
  </si>
  <si>
    <t>Powermax 120/Cap Sensitive Emulsion</t>
  </si>
  <si>
    <t>Powermax 140/Cap Sensitive Emulsion</t>
  </si>
  <si>
    <t>Powermax 420/Cap Sensitive Emulsion</t>
  </si>
  <si>
    <t>Power Primer/High Energy Ammonia Gelatin</t>
  </si>
  <si>
    <t>Powermax 440/Cap Sensitive Emulsion</t>
  </si>
  <si>
    <t>Seis Prime/High Velocity Seismic Explosive</t>
  </si>
  <si>
    <t>ATLAS POWDER COMPANY</t>
  </si>
  <si>
    <t>COMMON EXPLOSIVES</t>
  </si>
  <si>
    <t>Emutrench</t>
  </si>
  <si>
    <t>Emulex 700</t>
  </si>
  <si>
    <t>Hydromite 620</t>
  </si>
  <si>
    <t>Aluvite 1</t>
  </si>
  <si>
    <t>DUPONT</t>
  </si>
  <si>
    <t>Aluvite 2</t>
  </si>
  <si>
    <t>Aluvite 3</t>
  </si>
  <si>
    <t>ANFO HD</t>
  </si>
  <si>
    <t>Nilite 303</t>
  </si>
  <si>
    <t>Tovex TR-2</t>
  </si>
  <si>
    <t>Tovite</t>
  </si>
  <si>
    <t>Trenchrite ( 975/gm )</t>
  </si>
  <si>
    <t>Trenchrite ( 1172/gm )</t>
  </si>
  <si>
    <t>Energel - 200 Blasting Agent</t>
  </si>
  <si>
    <t>HERCULES INCORPORATED</t>
  </si>
  <si>
    <t>Energel - 410 Blasting Agent</t>
  </si>
  <si>
    <t>Energel - 420 Blasting Agent</t>
  </si>
  <si>
    <t>Energel - 430 Blasting Agent</t>
  </si>
  <si>
    <t>Energel - 440 Blasting Agent</t>
  </si>
  <si>
    <t>Energel - 450 Blasting Agent</t>
  </si>
  <si>
    <t>Gelamite 1, 1-X</t>
  </si>
  <si>
    <t>Gelamite 2, 2-X</t>
  </si>
  <si>
    <t>Gelamite 5, 5-X</t>
  </si>
  <si>
    <t>Gelamite D</t>
  </si>
  <si>
    <t>Powergel D</t>
  </si>
  <si>
    <t>Gelaprime F/Gelatin Dynamite</t>
  </si>
  <si>
    <t>Hercodyne/365 Non-nitroglycerin High Explosive</t>
  </si>
  <si>
    <t>Hercol 2, 2-X</t>
  </si>
  <si>
    <t>Hercol 4, 4-X</t>
  </si>
  <si>
    <t>Hercol Bag</t>
  </si>
  <si>
    <t>Hercon 2, 2-X</t>
  </si>
  <si>
    <t>Hercon 3, 3-X</t>
  </si>
  <si>
    <t>Hercomix 1/Blasting Agent</t>
  </si>
  <si>
    <t>Unigel - Semigelatin Dynamite</t>
  </si>
  <si>
    <t>Unimite - Ammonium Nitrate High Explosive</t>
  </si>
  <si>
    <t>Supergel</t>
  </si>
  <si>
    <t>INDEPENDENT CO. OF PENNSYLVANIA</t>
  </si>
  <si>
    <t>Comsol 50</t>
  </si>
  <si>
    <t>Comsol 166</t>
  </si>
  <si>
    <t>Comsol 266</t>
  </si>
  <si>
    <t>Comsol 300</t>
  </si>
  <si>
    <t>Unitegel</t>
  </si>
  <si>
    <t>Supergel 40 ( 950 Cal/gm )</t>
  </si>
  <si>
    <t>IRECO</t>
  </si>
  <si>
    <t>Iremite</t>
  </si>
  <si>
    <t>Unigel</t>
  </si>
  <si>
    <t>NITROCHEM ENERGY CORPORATION</t>
  </si>
  <si>
    <t>Dellek 10 Blasting Agent</t>
  </si>
  <si>
    <t>ML-400 Slurry</t>
  </si>
  <si>
    <t>ML-500 Blasting Agent</t>
  </si>
  <si>
    <t>ML-600</t>
  </si>
  <si>
    <t>ML-600P</t>
  </si>
  <si>
    <t>ML-700 Series</t>
  </si>
  <si>
    <t>ML-800 Series</t>
  </si>
  <si>
    <t>MS-80-0 Blasting Agents</t>
  </si>
  <si>
    <t>MS-80-5 Blasting Agents</t>
  </si>
  <si>
    <t>MS-80-10 Blasting Agents</t>
  </si>
  <si>
    <t>MS-80-15 Blasting Agents</t>
  </si>
  <si>
    <t>MS-80-20 Blasting Agents</t>
  </si>
  <si>
    <t>MS-80-25 Blasting Agents</t>
  </si>
  <si>
    <t>Temprel 3 Blasting Agents</t>
  </si>
  <si>
    <t>Temprel 6 Blasting Agents</t>
  </si>
  <si>
    <t>Temprel 9 Blasting Agents</t>
  </si>
  <si>
    <t>Temprel 12 Blasting Agents</t>
  </si>
  <si>
    <t>Temprel 15 Blasting Agents</t>
  </si>
  <si>
    <t>Tromax 65L Blasting Agents</t>
  </si>
  <si>
    <t>Tromax 95L Blasting Agents</t>
  </si>
  <si>
    <t>Tromax 149L Blasting Agents</t>
  </si>
  <si>
    <t>THERMEX ENERGY CORPORATION</t>
  </si>
  <si>
    <t>Detagel/High Explosive Water Gel</t>
  </si>
  <si>
    <t>Detagel HS/High Explosive Water Gel</t>
  </si>
  <si>
    <t>Detagel LD/High Explosive Water Gel</t>
  </si>
  <si>
    <t>Slurran 805/Water Gel Blasting Agent</t>
  </si>
  <si>
    <t>Slurran 806/Water Gel Blasting Agent</t>
  </si>
  <si>
    <t>Slurran 915/High Explosive Water Gel</t>
  </si>
  <si>
    <t>Slurran 916/High Explosive Water Gel</t>
  </si>
  <si>
    <t>IMPERIAL CHEMICAL INDUSTRIES</t>
  </si>
  <si>
    <t>Magnum 75</t>
  </si>
  <si>
    <t>APACHE POWDER COMPANY</t>
  </si>
  <si>
    <t>AUSTIN POWDER COMPANY</t>
  </si>
  <si>
    <t>Apex 1200 Series - Bulk : 1220</t>
  </si>
  <si>
    <t>Apex 1200 Series - Bulk : 1240</t>
  </si>
  <si>
    <t>Apex 1200 Series - Bulk : 1260</t>
  </si>
  <si>
    <t>Apex 1300 Series - Bulk : 1320</t>
  </si>
  <si>
    <t>Apex 1300 Series - Bulk : 1340</t>
  </si>
  <si>
    <t>Apex 1300 Series - Bulk : 1360</t>
  </si>
  <si>
    <t>References</t>
  </si>
  <si>
    <t>Final Report:  A.G.A Project PR_-15-109</t>
  </si>
  <si>
    <t>SwRI Project 02-5567</t>
  </si>
  <si>
    <t>1.  PRCI - Pipeline Response to Buried Explosive Detonations, Volume 1, Esparza, Westine, Wenzel, August 1981</t>
  </si>
  <si>
    <t>2.  PRCI - Pipeline Response to Buried Explosive Detonations, Volume 2, Esparza, Westine, Wenzel, August 1981</t>
  </si>
  <si>
    <t>3.  PRCI - Pipeline Response to Blasting in Rock, Esparza, September 1981</t>
  </si>
  <si>
    <t>Final Report:  Contract PR-15-712 for PRCI</t>
  </si>
  <si>
    <t>( Point Source )</t>
  </si>
  <si>
    <t>( Parallel Line Source )</t>
  </si>
  <si>
    <t>Peak Radial Ground Displacement, pg 119</t>
  </si>
  <si>
    <t>Peak Radial Ground Particle Velocity - PPV, pg 119</t>
  </si>
  <si>
    <t>Maximum Circumferential Strain, pg 147, 148</t>
  </si>
  <si>
    <t>Maximum Longitudinal Strain, pg 147, 148</t>
  </si>
  <si>
    <t>Other Helpful Equations</t>
  </si>
  <si>
    <t>PPV Limit Set to 4 in/sec</t>
  </si>
</sst>
</file>

<file path=xl/styles.xml><?xml version="1.0" encoding="utf-8"?>
<styleSheet xmlns="http://schemas.openxmlformats.org/spreadsheetml/2006/main">
  <numFmts count="2">
    <numFmt numFmtId="169" formatCode="0.000"/>
    <numFmt numFmtId="170" formatCode="0.000000000"/>
  </numFmts>
  <fonts count="24">
    <font>
      <sz val="10"/>
      <name val="Arial"/>
    </font>
    <font>
      <sz val="10"/>
      <color indexed="10"/>
      <name val="Arial"/>
      <family val="2"/>
    </font>
    <font>
      <sz val="10"/>
      <color indexed="12"/>
      <name val="Arial"/>
      <family val="2"/>
    </font>
    <font>
      <b/>
      <sz val="8"/>
      <color indexed="81"/>
      <name val="Tahoma"/>
    </font>
    <font>
      <b/>
      <sz val="8"/>
      <color indexed="10"/>
      <name val="Tahoma"/>
      <family val="2"/>
    </font>
    <font>
      <b/>
      <sz val="8"/>
      <color indexed="81"/>
      <name val="Tahoma"/>
      <family val="2"/>
    </font>
    <font>
      <b/>
      <sz val="8"/>
      <color indexed="48"/>
      <name val="Tahoma"/>
      <family val="2"/>
    </font>
    <font>
      <sz val="10"/>
      <name val="Arial"/>
      <family val="2"/>
    </font>
    <font>
      <sz val="18"/>
      <name val="Arial"/>
      <family val="2"/>
    </font>
    <font>
      <sz val="14"/>
      <name val="Arial"/>
      <family val="2"/>
    </font>
    <font>
      <sz val="14"/>
      <color indexed="48"/>
      <name val="Arial"/>
      <family val="2"/>
    </font>
    <font>
      <b/>
      <sz val="18"/>
      <name val="Arial"/>
      <family val="2"/>
    </font>
    <font>
      <sz val="14"/>
      <color indexed="10"/>
      <name val="Arial"/>
      <family val="2"/>
    </font>
    <font>
      <sz val="10"/>
      <color indexed="57"/>
      <name val="Arial"/>
      <family val="2"/>
    </font>
    <font>
      <b/>
      <sz val="10"/>
      <color indexed="10"/>
      <name val="Arial"/>
      <family val="2"/>
    </font>
    <font>
      <sz val="8"/>
      <color indexed="81"/>
      <name val="Tahoma"/>
    </font>
    <font>
      <u/>
      <sz val="10"/>
      <color indexed="12"/>
      <name val="Arial"/>
    </font>
    <font>
      <sz val="8"/>
      <name val="Arial"/>
    </font>
    <font>
      <b/>
      <sz val="14"/>
      <color indexed="48"/>
      <name val="Arial"/>
      <family val="2"/>
    </font>
    <font>
      <sz val="10"/>
      <color indexed="12"/>
      <name val="Arial"/>
    </font>
    <font>
      <b/>
      <sz val="10"/>
      <name val="Arial"/>
      <family val="2"/>
    </font>
    <font>
      <b/>
      <sz val="8"/>
      <color indexed="12"/>
      <name val="Tahoma"/>
      <family val="2"/>
    </font>
    <font>
      <sz val="10"/>
      <color indexed="17"/>
      <name val="Arial"/>
      <family val="2"/>
    </font>
    <font>
      <b/>
      <sz val="10"/>
      <color indexed="48"/>
      <name val="Arial"/>
      <family val="2"/>
    </font>
  </fonts>
  <fills count="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s>
  <cellStyleXfs count="2">
    <xf numFmtId="0" fontId="0" fillId="0" borderId="0"/>
    <xf numFmtId="0" fontId="16" fillId="0" borderId="0" applyNumberFormat="0" applyFill="0" applyBorder="0" applyAlignment="0" applyProtection="0">
      <alignment vertical="top"/>
      <protection locked="0"/>
    </xf>
  </cellStyleXfs>
  <cellXfs count="55">
    <xf numFmtId="0" fontId="0" fillId="0" borderId="0" xfId="0"/>
    <xf numFmtId="0" fontId="0" fillId="0" borderId="0" xfId="0" applyAlignment="1">
      <alignment horizontal="center"/>
    </xf>
    <xf numFmtId="0" fontId="0" fillId="0" borderId="0" xfId="0" applyAlignment="1">
      <alignment horizontal="left"/>
    </xf>
    <xf numFmtId="0" fontId="1" fillId="0" borderId="1" xfId="0" applyFont="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19" fillId="0" borderId="1" xfId="0" applyFont="1" applyBorder="1" applyAlignment="1">
      <alignment horizontal="center"/>
    </xf>
    <xf numFmtId="0" fontId="20" fillId="0" borderId="1" xfId="0" applyFont="1" applyBorder="1" applyAlignment="1">
      <alignment horizontal="center"/>
    </xf>
    <xf numFmtId="0" fontId="0" fillId="0" borderId="0" xfId="0" applyBorder="1" applyAlignment="1">
      <alignment horizontal="center"/>
    </xf>
    <xf numFmtId="0" fontId="0" fillId="0" borderId="0" xfId="0" applyBorder="1"/>
    <xf numFmtId="11" fontId="13" fillId="0" borderId="1" xfId="0" applyNumberFormat="1" applyFont="1" applyBorder="1" applyAlignment="1">
      <alignment horizontal="center"/>
    </xf>
    <xf numFmtId="11" fontId="13" fillId="0" borderId="1" xfId="0" applyNumberFormat="1" applyFont="1" applyBorder="1"/>
    <xf numFmtId="0" fontId="0" fillId="2" borderId="0" xfId="0" applyFill="1" applyAlignment="1">
      <alignment horizontal="left"/>
    </xf>
    <xf numFmtId="0" fontId="0" fillId="3" borderId="0" xfId="0" applyFill="1" applyAlignment="1">
      <alignment horizontal="left"/>
    </xf>
    <xf numFmtId="0" fontId="23" fillId="0" borderId="0" xfId="0" applyFont="1" applyAlignment="1">
      <alignment horizontal="left"/>
    </xf>
    <xf numFmtId="0" fontId="23" fillId="0" borderId="0" xfId="0" applyFont="1" applyBorder="1" applyAlignment="1">
      <alignment horizontal="left"/>
    </xf>
    <xf numFmtId="0" fontId="23" fillId="0" borderId="0" xfId="0" applyNumberFormat="1" applyFont="1" applyBorder="1" applyAlignment="1">
      <alignment horizontal="left"/>
    </xf>
    <xf numFmtId="0" fontId="16" fillId="0" borderId="0" xfId="1" applyBorder="1" applyAlignment="1" applyProtection="1">
      <alignment horizontal="left"/>
    </xf>
    <xf numFmtId="0" fontId="16" fillId="0" borderId="0" xfId="1" applyAlignment="1" applyProtection="1">
      <alignment horizontal="left"/>
    </xf>
    <xf numFmtId="0" fontId="16" fillId="0" borderId="0" xfId="1" applyBorder="1" applyAlignment="1" applyProtection="1">
      <alignment horizontal="center"/>
    </xf>
    <xf numFmtId="0" fontId="16" fillId="0" borderId="0" xfId="1" applyBorder="1" applyAlignment="1" applyProtection="1"/>
    <xf numFmtId="0" fontId="16" fillId="0" borderId="0" xfId="1" applyAlignment="1" applyProtection="1"/>
    <xf numFmtId="0" fontId="9" fillId="0" borderId="0" xfId="0" applyFont="1" applyProtection="1">
      <protection hidden="1"/>
    </xf>
    <xf numFmtId="0" fontId="0" fillId="0" borderId="0" xfId="0" applyProtection="1">
      <protection hidden="1"/>
    </xf>
    <xf numFmtId="0" fontId="0" fillId="4" borderId="2" xfId="0" applyFill="1" applyBorder="1" applyProtection="1">
      <protection hidden="1"/>
    </xf>
    <xf numFmtId="0" fontId="10" fillId="0" borderId="0" xfId="0" applyFont="1" applyProtection="1">
      <protection hidden="1"/>
    </xf>
    <xf numFmtId="0" fontId="0" fillId="3" borderId="0" xfId="0" applyFill="1" applyProtection="1">
      <protection hidden="1"/>
    </xf>
    <xf numFmtId="0" fontId="11" fillId="0" borderId="0" xfId="0" applyFont="1" applyProtection="1">
      <protection hidden="1"/>
    </xf>
    <xf numFmtId="0" fontId="0" fillId="0" borderId="0" xfId="0" applyAlignment="1" applyProtection="1">
      <alignment horizontal="right"/>
      <protection hidden="1"/>
    </xf>
    <xf numFmtId="0" fontId="0" fillId="4" borderId="2" xfId="0" applyNumberFormat="1" applyFill="1" applyBorder="1" applyProtection="1">
      <protection hidden="1"/>
    </xf>
    <xf numFmtId="0" fontId="1" fillId="4" borderId="2" xfId="0" applyFont="1" applyFill="1" applyBorder="1" applyProtection="1">
      <protection hidden="1"/>
    </xf>
    <xf numFmtId="0" fontId="1" fillId="4" borderId="2" xfId="0" applyFont="1" applyFill="1" applyBorder="1" applyAlignment="1" applyProtection="1">
      <alignment horizontal="right"/>
      <protection hidden="1"/>
    </xf>
    <xf numFmtId="0" fontId="2" fillId="0" borderId="0" xfId="0" applyFont="1" applyProtection="1">
      <protection hidden="1"/>
    </xf>
    <xf numFmtId="0" fontId="7" fillId="0" borderId="0" xfId="0" applyFont="1" applyAlignment="1" applyProtection="1">
      <alignment horizontal="right"/>
      <protection hidden="1"/>
    </xf>
    <xf numFmtId="0" fontId="0" fillId="0" borderId="0" xfId="0" applyAlignment="1" applyProtection="1">
      <alignment horizontal="left"/>
      <protection hidden="1"/>
    </xf>
    <xf numFmtId="0" fontId="0" fillId="0" borderId="0" xfId="0" applyFill="1" applyBorder="1" applyAlignment="1" applyProtection="1">
      <alignment horizontal="right"/>
      <protection hidden="1"/>
    </xf>
    <xf numFmtId="2" fontId="0" fillId="0" borderId="0" xfId="0" applyNumberFormat="1" applyProtection="1">
      <protection hidden="1"/>
    </xf>
    <xf numFmtId="2" fontId="0" fillId="3" borderId="0" xfId="0" applyNumberFormat="1" applyFill="1" applyProtection="1">
      <protection hidden="1"/>
    </xf>
    <xf numFmtId="0" fontId="12" fillId="0" borderId="0" xfId="0" applyFont="1" applyFill="1" applyAlignment="1" applyProtection="1">
      <alignment horizontal="center"/>
      <protection hidden="1"/>
    </xf>
    <xf numFmtId="11" fontId="22" fillId="0" borderId="2" xfId="0" applyNumberFormat="1" applyFont="1" applyFill="1" applyBorder="1" applyAlignment="1" applyProtection="1">
      <alignment horizontal="right"/>
      <protection hidden="1"/>
    </xf>
    <xf numFmtId="11" fontId="13" fillId="0" borderId="0" xfId="0" applyNumberFormat="1" applyFont="1" applyBorder="1" applyAlignment="1" applyProtection="1">
      <alignment horizontal="right"/>
      <protection hidden="1"/>
    </xf>
    <xf numFmtId="11" fontId="0" fillId="0" borderId="0" xfId="0" applyNumberFormat="1" applyProtection="1">
      <protection hidden="1"/>
    </xf>
    <xf numFmtId="2" fontId="0" fillId="0" borderId="0" xfId="0" applyNumberFormat="1" applyFill="1" applyBorder="1" applyProtection="1">
      <protection hidden="1"/>
    </xf>
    <xf numFmtId="170" fontId="0" fillId="3" borderId="0" xfId="0" applyNumberFormat="1" applyFill="1" applyProtection="1">
      <protection hidden="1"/>
    </xf>
    <xf numFmtId="0" fontId="0" fillId="0" borderId="0" xfId="0" applyFill="1" applyProtection="1">
      <protection hidden="1"/>
    </xf>
    <xf numFmtId="0" fontId="14" fillId="0" borderId="0" xfId="0" applyFont="1" applyProtection="1">
      <protection hidden="1"/>
    </xf>
    <xf numFmtId="0" fontId="0" fillId="0" borderId="2" xfId="0" applyBorder="1" applyProtection="1">
      <protection hidden="1"/>
    </xf>
    <xf numFmtId="0" fontId="1" fillId="0" borderId="0" xfId="0" applyFont="1" applyBorder="1" applyAlignment="1" applyProtection="1">
      <alignment horizontal="center"/>
      <protection hidden="1"/>
    </xf>
    <xf numFmtId="169" fontId="0" fillId="0" borderId="0" xfId="0" applyNumberFormat="1" applyAlignment="1" applyProtection="1">
      <alignment horizontal="right"/>
      <protection hidden="1"/>
    </xf>
    <xf numFmtId="0" fontId="1" fillId="0" borderId="0" xfId="0" applyFont="1" applyAlignment="1" applyProtection="1">
      <alignment horizontal="center"/>
      <protection hidden="1"/>
    </xf>
    <xf numFmtId="169" fontId="0" fillId="0" borderId="0" xfId="0" applyNumberFormat="1" applyAlignment="1" applyProtection="1">
      <alignment horizontal="left"/>
      <protection hidden="1"/>
    </xf>
    <xf numFmtId="2" fontId="0" fillId="0" borderId="0" xfId="0" applyNumberFormat="1" applyFill="1" applyProtection="1">
      <protection hidden="1"/>
    </xf>
    <xf numFmtId="169" fontId="0" fillId="0" borderId="0" xfId="0" applyNumberFormat="1" applyProtection="1">
      <protection hidden="1"/>
    </xf>
    <xf numFmtId="169" fontId="0" fillId="0" borderId="0" xfId="0" applyNumberFormat="1" applyFill="1" applyBorder="1" applyProtection="1">
      <protection hidden="1"/>
    </xf>
    <xf numFmtId="170" fontId="0" fillId="0" borderId="0" xfId="0" applyNumberFormat="1" applyProtection="1">
      <protection hidden="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14.emf"/><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0</xdr:col>
      <xdr:colOff>1409700</xdr:colOff>
      <xdr:row>13</xdr:row>
      <xdr:rowOff>95250</xdr:rowOff>
    </xdr:from>
    <xdr:to>
      <xdr:col>1</xdr:col>
      <xdr:colOff>428625</xdr:colOff>
      <xdr:row>28</xdr:row>
      <xdr:rowOff>38100</xdr:rowOff>
    </xdr:to>
    <xdr:sp macro="" textlink="">
      <xdr:nvSpPr>
        <xdr:cNvPr id="3098" name="WordArt 26"/>
        <xdr:cNvSpPr>
          <a:spLocks noChangeArrowheads="1" noChangeShapeType="1" noTextEdit="1"/>
        </xdr:cNvSpPr>
      </xdr:nvSpPr>
      <xdr:spPr bwMode="auto">
        <a:xfrm>
          <a:off x="1409700" y="2400300"/>
          <a:ext cx="2867025" cy="2571750"/>
        </a:xfrm>
        <a:prstGeom prst="rect">
          <a:avLst/>
        </a:prstGeom>
      </xdr:spPr>
      <xdr:txBody>
        <a:bodyPr wrap="none" fromWordArt="1">
          <a:prstTxWarp prst="textSlantUp">
            <a:avLst>
              <a:gd name="adj" fmla="val 32056"/>
            </a:avLst>
          </a:prstTxWarp>
        </a:bodyPr>
        <a:lstStyle/>
        <a:p>
          <a:pPr algn="ctr" rtl="0"/>
          <a:r>
            <a:rPr lang="en-US" sz="3600" kern="10" spc="0">
              <a:ln w="9525">
                <a:solidFill>
                  <a:srgbClr val="CC99FF"/>
                </a:solidFill>
                <a:round/>
                <a:headEnd/>
                <a:tailEnd/>
              </a:ln>
              <a:solidFill>
                <a:srgbClr val="FF00FF">
                  <a:alpha val="11000"/>
                </a:srgbClr>
              </a:solidFill>
              <a:effectLst>
                <a:outerShdw dist="53882" dir="2700000" algn="ctr" rotWithShape="0">
                  <a:srgbClr val="9999FF">
                    <a:alpha val="80000"/>
                  </a:srgbClr>
                </a:outerShdw>
              </a:effectLst>
              <a:latin typeface="Impact"/>
            </a:rPr>
            <a:t>SAMPLE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1409700</xdr:colOff>
      <xdr:row>13</xdr:row>
      <xdr:rowOff>95250</xdr:rowOff>
    </xdr:from>
    <xdr:to>
      <xdr:col>1</xdr:col>
      <xdr:colOff>428625</xdr:colOff>
      <xdr:row>29</xdr:row>
      <xdr:rowOff>9525</xdr:rowOff>
    </xdr:to>
    <xdr:sp macro="" textlink="">
      <xdr:nvSpPr>
        <xdr:cNvPr id="4143" name="WordArt 47"/>
        <xdr:cNvSpPr>
          <a:spLocks noChangeArrowheads="1" noChangeShapeType="1" noTextEdit="1"/>
        </xdr:cNvSpPr>
      </xdr:nvSpPr>
      <xdr:spPr bwMode="auto">
        <a:xfrm>
          <a:off x="1409700" y="2400300"/>
          <a:ext cx="2867025" cy="2571750"/>
        </a:xfrm>
        <a:prstGeom prst="rect">
          <a:avLst/>
        </a:prstGeom>
      </xdr:spPr>
      <xdr:txBody>
        <a:bodyPr wrap="none" fromWordArt="1">
          <a:prstTxWarp prst="textSlantUp">
            <a:avLst>
              <a:gd name="adj" fmla="val 32056"/>
            </a:avLst>
          </a:prstTxWarp>
        </a:bodyPr>
        <a:lstStyle/>
        <a:p>
          <a:pPr algn="ctr" rtl="0"/>
          <a:r>
            <a:rPr lang="en-US" sz="3600" kern="10" spc="0">
              <a:ln w="9525">
                <a:solidFill>
                  <a:srgbClr val="CC99FF"/>
                </a:solidFill>
                <a:round/>
                <a:headEnd/>
                <a:tailEnd/>
              </a:ln>
              <a:solidFill>
                <a:srgbClr val="FF00FF">
                  <a:alpha val="11000"/>
                </a:srgbClr>
              </a:solidFill>
              <a:effectLst>
                <a:outerShdw dist="53882" dir="2700000" algn="ctr" rotWithShape="0">
                  <a:srgbClr val="9999FF">
                    <a:alpha val="80000"/>
                  </a:srgbClr>
                </a:outerShdw>
              </a:effectLst>
              <a:latin typeface="Impact"/>
            </a:rPr>
            <a:t>SAMPLE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1409700</xdr:colOff>
      <xdr:row>13</xdr:row>
      <xdr:rowOff>95250</xdr:rowOff>
    </xdr:from>
    <xdr:to>
      <xdr:col>1</xdr:col>
      <xdr:colOff>428625</xdr:colOff>
      <xdr:row>29</xdr:row>
      <xdr:rowOff>76200</xdr:rowOff>
    </xdr:to>
    <xdr:sp macro="" textlink="">
      <xdr:nvSpPr>
        <xdr:cNvPr id="5160" name="WordArt 40"/>
        <xdr:cNvSpPr>
          <a:spLocks noChangeArrowheads="1" noChangeShapeType="1" noTextEdit="1"/>
        </xdr:cNvSpPr>
      </xdr:nvSpPr>
      <xdr:spPr bwMode="auto">
        <a:xfrm>
          <a:off x="1409700" y="2400300"/>
          <a:ext cx="2867025" cy="2571750"/>
        </a:xfrm>
        <a:prstGeom prst="rect">
          <a:avLst/>
        </a:prstGeom>
      </xdr:spPr>
      <xdr:txBody>
        <a:bodyPr wrap="none" fromWordArt="1">
          <a:prstTxWarp prst="textSlantUp">
            <a:avLst>
              <a:gd name="adj" fmla="val 32056"/>
            </a:avLst>
          </a:prstTxWarp>
        </a:bodyPr>
        <a:lstStyle/>
        <a:p>
          <a:pPr algn="ctr" rtl="0"/>
          <a:r>
            <a:rPr lang="en-US" sz="3600" kern="10" spc="0">
              <a:ln w="9525">
                <a:solidFill>
                  <a:srgbClr val="CC99FF"/>
                </a:solidFill>
                <a:round/>
                <a:headEnd/>
                <a:tailEnd/>
              </a:ln>
              <a:solidFill>
                <a:srgbClr val="FF00FF">
                  <a:alpha val="11000"/>
                </a:srgbClr>
              </a:solidFill>
              <a:effectLst>
                <a:outerShdw dist="53882" dir="2700000" algn="ctr" rotWithShape="0">
                  <a:srgbClr val="9999FF">
                    <a:alpha val="80000"/>
                  </a:srgbClr>
                </a:outerShdw>
              </a:effectLst>
              <a:latin typeface="Impact"/>
            </a:rPr>
            <a:t>SAMPLE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28575</xdr:colOff>
      <xdr:row>1</xdr:row>
      <xdr:rowOff>85725</xdr:rowOff>
    </xdr:from>
    <xdr:to>
      <xdr:col>10</xdr:col>
      <xdr:colOff>57150</xdr:colOff>
      <xdr:row>23</xdr:row>
      <xdr:rowOff>95250</xdr:rowOff>
    </xdr:to>
    <xdr:pic>
      <xdr:nvPicPr>
        <xdr:cNvPr id="6150"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6600825" y="314325"/>
          <a:ext cx="3076575" cy="3705225"/>
        </a:xfrm>
        <a:prstGeom prst="rect">
          <a:avLst/>
        </a:prstGeom>
        <a:solidFill>
          <a:srgbClr val="FFFFFF"/>
        </a:solidFill>
        <a:ln w="9525">
          <a:solidFill>
            <a:srgbClr val="000000"/>
          </a:solidFill>
          <a:miter lim="800000"/>
          <a:headEnd/>
          <a:tailEnd/>
        </a:ln>
        <a:effectLst/>
      </xdr:spPr>
    </xdr:pic>
    <xdr:clientData/>
  </xdr:twoCellAnchor>
  <xdr:twoCellAnchor>
    <xdr:from>
      <xdr:col>0</xdr:col>
      <xdr:colOff>1409700</xdr:colOff>
      <xdr:row>13</xdr:row>
      <xdr:rowOff>95250</xdr:rowOff>
    </xdr:from>
    <xdr:to>
      <xdr:col>1</xdr:col>
      <xdr:colOff>428625</xdr:colOff>
      <xdr:row>29</xdr:row>
      <xdr:rowOff>76200</xdr:rowOff>
    </xdr:to>
    <xdr:sp macro="" textlink="">
      <xdr:nvSpPr>
        <xdr:cNvPr id="6200" name="WordArt 56"/>
        <xdr:cNvSpPr>
          <a:spLocks noChangeArrowheads="1" noChangeShapeType="1" noTextEdit="1"/>
        </xdr:cNvSpPr>
      </xdr:nvSpPr>
      <xdr:spPr bwMode="auto">
        <a:xfrm>
          <a:off x="1409700" y="2400300"/>
          <a:ext cx="2867025" cy="2571750"/>
        </a:xfrm>
        <a:prstGeom prst="rect">
          <a:avLst/>
        </a:prstGeom>
      </xdr:spPr>
      <xdr:txBody>
        <a:bodyPr wrap="none" fromWordArt="1">
          <a:prstTxWarp prst="textSlantUp">
            <a:avLst>
              <a:gd name="adj" fmla="val 32056"/>
            </a:avLst>
          </a:prstTxWarp>
        </a:bodyPr>
        <a:lstStyle/>
        <a:p>
          <a:pPr algn="ctr" rtl="0"/>
          <a:r>
            <a:rPr lang="en-US" sz="3600" kern="10" spc="0">
              <a:ln w="9525">
                <a:solidFill>
                  <a:srgbClr val="CC99FF"/>
                </a:solidFill>
                <a:round/>
                <a:headEnd/>
                <a:tailEnd/>
              </a:ln>
              <a:solidFill>
                <a:srgbClr val="FF00FF">
                  <a:alpha val="11000"/>
                </a:srgbClr>
              </a:solidFill>
              <a:effectLst>
                <a:outerShdw dist="53882" dir="2700000" algn="ctr" rotWithShape="0">
                  <a:srgbClr val="9999FF">
                    <a:alpha val="80000"/>
                  </a:srgbClr>
                </a:outerShdw>
              </a:effectLst>
              <a:latin typeface="Impact"/>
            </a:rPr>
            <a:t>SAMPLE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1409700</xdr:colOff>
      <xdr:row>13</xdr:row>
      <xdr:rowOff>95250</xdr:rowOff>
    </xdr:from>
    <xdr:to>
      <xdr:col>1</xdr:col>
      <xdr:colOff>428625</xdr:colOff>
      <xdr:row>29</xdr:row>
      <xdr:rowOff>76200</xdr:rowOff>
    </xdr:to>
    <xdr:sp macro="" textlink="">
      <xdr:nvSpPr>
        <xdr:cNvPr id="11282" name="WordArt 18"/>
        <xdr:cNvSpPr>
          <a:spLocks noChangeArrowheads="1" noChangeShapeType="1" noTextEdit="1"/>
        </xdr:cNvSpPr>
      </xdr:nvSpPr>
      <xdr:spPr bwMode="auto">
        <a:xfrm>
          <a:off x="1409700" y="2400300"/>
          <a:ext cx="2867025" cy="2571750"/>
        </a:xfrm>
        <a:prstGeom prst="rect">
          <a:avLst/>
        </a:prstGeom>
      </xdr:spPr>
      <xdr:txBody>
        <a:bodyPr wrap="none" fromWordArt="1">
          <a:prstTxWarp prst="textSlantUp">
            <a:avLst>
              <a:gd name="adj" fmla="val 32056"/>
            </a:avLst>
          </a:prstTxWarp>
        </a:bodyPr>
        <a:lstStyle/>
        <a:p>
          <a:pPr algn="ctr" rtl="0"/>
          <a:r>
            <a:rPr lang="en-US" sz="3600" kern="10" spc="0">
              <a:ln w="9525">
                <a:solidFill>
                  <a:srgbClr val="CC99FF"/>
                </a:solidFill>
                <a:round/>
                <a:headEnd/>
                <a:tailEnd/>
              </a:ln>
              <a:solidFill>
                <a:srgbClr val="FF00FF">
                  <a:alpha val="11000"/>
                </a:srgbClr>
              </a:solidFill>
              <a:effectLst>
                <a:outerShdw dist="53882" dir="2700000" algn="ctr" rotWithShape="0">
                  <a:srgbClr val="9999FF">
                    <a:alpha val="80000"/>
                  </a:srgbClr>
                </a:outerShdw>
              </a:effectLst>
              <a:latin typeface="Impact"/>
            </a:rPr>
            <a:t>SAMPLE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676275</xdr:colOff>
      <xdr:row>64</xdr:row>
      <xdr:rowOff>19050</xdr:rowOff>
    </xdr:from>
    <xdr:to>
      <xdr:col>7</xdr:col>
      <xdr:colOff>257175</xdr:colOff>
      <xdr:row>67</xdr:row>
      <xdr:rowOff>28575</xdr:rowOff>
    </xdr:to>
    <xdr:pic>
      <xdr:nvPicPr>
        <xdr:cNvPr id="819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219700" y="10382250"/>
          <a:ext cx="1219200" cy="495300"/>
        </a:xfrm>
        <a:prstGeom prst="rect">
          <a:avLst/>
        </a:prstGeom>
        <a:solidFill>
          <a:srgbClr val="FFFFFF"/>
        </a:solidFill>
        <a:ln w="9525">
          <a:solidFill>
            <a:srgbClr val="000000"/>
          </a:solidFill>
          <a:miter lim="800000"/>
          <a:headEnd/>
          <a:tailEn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5.xml"/><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13" Type="http://schemas.openxmlformats.org/officeDocument/2006/relationships/oleObject" Target="../embeddings/oleObject8.bin"/><Relationship Id="rId3" Type="http://schemas.openxmlformats.org/officeDocument/2006/relationships/hyperlink" Target="http://www.equationsheets.com/PRCI2.pdf" TargetMode="External"/><Relationship Id="rId7" Type="http://schemas.openxmlformats.org/officeDocument/2006/relationships/printerSettings" Target="../printerSettings/printerSettings6.bin"/><Relationship Id="rId12" Type="http://schemas.openxmlformats.org/officeDocument/2006/relationships/oleObject" Target="../embeddings/oleObject7.bin"/><Relationship Id="rId17" Type="http://schemas.openxmlformats.org/officeDocument/2006/relationships/oleObject" Target="../embeddings/oleObject12.bin"/><Relationship Id="rId2" Type="http://schemas.openxmlformats.org/officeDocument/2006/relationships/hyperlink" Target="http://www.equationsheets.com/PRCI1.pdf" TargetMode="External"/><Relationship Id="rId16" Type="http://schemas.openxmlformats.org/officeDocument/2006/relationships/oleObject" Target="../embeddings/oleObject11.bin"/><Relationship Id="rId1" Type="http://schemas.openxmlformats.org/officeDocument/2006/relationships/hyperlink" Target="http://www.equationsheets.com/PRCI1.pdf" TargetMode="External"/><Relationship Id="rId6" Type="http://schemas.openxmlformats.org/officeDocument/2006/relationships/hyperlink" Target="http://www.equationsheets.com/PRCI3.pdf" TargetMode="External"/><Relationship Id="rId11" Type="http://schemas.openxmlformats.org/officeDocument/2006/relationships/oleObject" Target="../embeddings/oleObject6.bin"/><Relationship Id="rId5" Type="http://schemas.openxmlformats.org/officeDocument/2006/relationships/hyperlink" Target="http://www.equationsheets.com/PRCI3.pdf" TargetMode="External"/><Relationship Id="rId15" Type="http://schemas.openxmlformats.org/officeDocument/2006/relationships/oleObject" Target="../embeddings/oleObject10.bin"/><Relationship Id="rId10" Type="http://schemas.openxmlformats.org/officeDocument/2006/relationships/oleObject" Target="../embeddings/oleObject5.bin"/><Relationship Id="rId4" Type="http://schemas.openxmlformats.org/officeDocument/2006/relationships/hyperlink" Target="http://www.equationsheets.com/PRCI2.pdf" TargetMode="External"/><Relationship Id="rId9" Type="http://schemas.openxmlformats.org/officeDocument/2006/relationships/vmlDrawing" Target="../drawings/vmlDrawing6.vml"/><Relationship Id="rId14" Type="http://schemas.openxmlformats.org/officeDocument/2006/relationships/oleObject" Target="../embeddings/oleObject9.bin"/></Relationships>
</file>

<file path=xl/worksheets/sheet1.xml><?xml version="1.0" encoding="utf-8"?>
<worksheet xmlns="http://schemas.openxmlformats.org/spreadsheetml/2006/main" xmlns:r="http://schemas.openxmlformats.org/officeDocument/2006/relationships">
  <dimension ref="A1:G43"/>
  <sheetViews>
    <sheetView tabSelected="1" workbookViewId="0">
      <selection activeCell="C5" sqref="C5"/>
    </sheetView>
  </sheetViews>
  <sheetFormatPr defaultRowHeight="12.75"/>
  <cols>
    <col min="1" max="1" width="57.7109375" style="23" customWidth="1"/>
    <col min="2" max="2" width="9.140625" style="23"/>
    <col min="3" max="3" width="13.42578125" style="23" customWidth="1"/>
    <col min="4" max="5" width="9.140625" style="23"/>
    <col min="6" max="6" width="12.42578125" style="23" bestFit="1" customWidth="1"/>
    <col min="7" max="16384" width="9.140625" style="23"/>
  </cols>
  <sheetData>
    <row r="1" spans="1:4" ht="18">
      <c r="A1" s="22" t="s">
        <v>150</v>
      </c>
    </row>
    <row r="2" spans="1:4">
      <c r="C2" s="24"/>
      <c r="D2" s="23" t="s">
        <v>120</v>
      </c>
    </row>
    <row r="3" spans="1:4" ht="12.75" customHeight="1">
      <c r="A3" s="25"/>
      <c r="C3" s="26"/>
      <c r="D3" s="23" t="s">
        <v>121</v>
      </c>
    </row>
    <row r="4" spans="1:4" ht="23.25">
      <c r="A4" s="27" t="s">
        <v>81</v>
      </c>
    </row>
    <row r="5" spans="1:4">
      <c r="A5" s="23" t="s">
        <v>40</v>
      </c>
      <c r="B5" s="28" t="s">
        <v>41</v>
      </c>
      <c r="C5" s="24">
        <v>12.75</v>
      </c>
      <c r="D5" s="23" t="s">
        <v>23</v>
      </c>
    </row>
    <row r="6" spans="1:4">
      <c r="A6" s="23" t="s">
        <v>42</v>
      </c>
      <c r="B6" s="28" t="s">
        <v>43</v>
      </c>
      <c r="C6" s="24">
        <v>0.25</v>
      </c>
      <c r="D6" s="23" t="s">
        <v>23</v>
      </c>
    </row>
    <row r="7" spans="1:4">
      <c r="A7" s="23" t="s">
        <v>165</v>
      </c>
      <c r="B7" s="28" t="s">
        <v>45</v>
      </c>
      <c r="C7" s="24">
        <v>52000</v>
      </c>
      <c r="D7" s="23" t="s">
        <v>17</v>
      </c>
    </row>
    <row r="8" spans="1:4">
      <c r="A8" s="23" t="s">
        <v>84</v>
      </c>
      <c r="B8" s="28" t="s">
        <v>85</v>
      </c>
      <c r="C8" s="29">
        <v>29500000</v>
      </c>
      <c r="D8" s="23" t="s">
        <v>17</v>
      </c>
    </row>
    <row r="9" spans="1:4">
      <c r="A9" s="23" t="s">
        <v>49</v>
      </c>
      <c r="B9" s="28" t="s">
        <v>50</v>
      </c>
      <c r="C9" s="24">
        <v>968</v>
      </c>
      <c r="D9" s="23" t="s">
        <v>51</v>
      </c>
    </row>
    <row r="10" spans="1:4">
      <c r="A10" s="23" t="s">
        <v>46</v>
      </c>
      <c r="B10" s="28" t="s">
        <v>47</v>
      </c>
      <c r="C10" s="30">
        <v>90</v>
      </c>
      <c r="D10" s="23" t="s">
        <v>48</v>
      </c>
    </row>
    <row r="11" spans="1:4">
      <c r="A11" s="23" t="s">
        <v>2</v>
      </c>
      <c r="B11" s="28"/>
      <c r="C11" s="31">
        <v>1</v>
      </c>
      <c r="D11" s="32" t="str">
        <f>LOOKUP(C11,'Data Charts'!$A$5:$A$155,'Data Charts'!$B$5:$B$155)</f>
        <v>ANFO (94/6)</v>
      </c>
    </row>
    <row r="12" spans="1:4">
      <c r="A12" s="23" t="s">
        <v>67</v>
      </c>
      <c r="B12" s="28" t="s">
        <v>52</v>
      </c>
      <c r="C12" s="33">
        <f>LOOKUP(C11,'Data Charts'!A5:A155,'Data Charts'!D5:D155)</f>
        <v>1</v>
      </c>
    </row>
    <row r="13" spans="1:4">
      <c r="A13" s="23" t="s">
        <v>111</v>
      </c>
      <c r="B13" s="28" t="s">
        <v>0</v>
      </c>
      <c r="C13" s="24">
        <v>5040</v>
      </c>
      <c r="D13" s="23" t="s">
        <v>1</v>
      </c>
    </row>
    <row r="14" spans="1:4">
      <c r="A14" s="34" t="s">
        <v>56</v>
      </c>
      <c r="B14" s="28" t="s">
        <v>13</v>
      </c>
      <c r="C14" s="24">
        <v>379</v>
      </c>
      <c r="D14" s="23" t="s">
        <v>14</v>
      </c>
    </row>
    <row r="15" spans="1:4">
      <c r="A15" s="23" t="s">
        <v>77</v>
      </c>
      <c r="B15" s="35" t="s">
        <v>78</v>
      </c>
      <c r="C15" s="36">
        <f>C9*C5/(2*C6)</f>
        <v>24684</v>
      </c>
      <c r="D15" s="23" t="s">
        <v>17</v>
      </c>
    </row>
    <row r="16" spans="1:4">
      <c r="A16" s="23" t="s">
        <v>105</v>
      </c>
      <c r="B16" s="35" t="s">
        <v>76</v>
      </c>
      <c r="C16" s="36">
        <f>4.44*C8*(C12*C13/(SQRT(C8*C6)*C14^2.5))^0.77</f>
        <v>2291.4355177959169</v>
      </c>
      <c r="D16" s="23" t="s">
        <v>17</v>
      </c>
    </row>
    <row r="17" spans="1:7">
      <c r="A17" s="23" t="s">
        <v>109</v>
      </c>
      <c r="B17" s="35" t="s">
        <v>110</v>
      </c>
      <c r="C17" s="36">
        <f>C15+C16</f>
        <v>26975.435517795915</v>
      </c>
      <c r="D17" s="23" t="s">
        <v>17</v>
      </c>
    </row>
    <row r="18" spans="1:7">
      <c r="A18" s="23" t="s">
        <v>102</v>
      </c>
      <c r="B18" s="35" t="s">
        <v>79</v>
      </c>
      <c r="C18" s="36">
        <f>(C17^2-C17*C16+C16^2)^0.5</f>
        <v>25905.83577214777</v>
      </c>
      <c r="D18" s="23" t="s">
        <v>17</v>
      </c>
    </row>
    <row r="19" spans="1:7">
      <c r="A19" s="23" t="s">
        <v>103</v>
      </c>
      <c r="B19" s="35" t="s">
        <v>80</v>
      </c>
      <c r="C19" s="37">
        <f>C18*100/C7</f>
        <v>49.818914946438021</v>
      </c>
      <c r="D19" s="23" t="s">
        <v>48</v>
      </c>
    </row>
    <row r="21" spans="1:7" ht="18">
      <c r="A21" s="28" t="s">
        <v>83</v>
      </c>
      <c r="C21" s="38" t="str">
        <f>IF(C19&lt;C10,"Safe to Blast","Not Safe to Blast")</f>
        <v>Safe to Blast</v>
      </c>
    </row>
    <row r="23" spans="1:7" ht="23.25">
      <c r="A23" s="27" t="s">
        <v>82</v>
      </c>
    </row>
    <row r="25" spans="1:7">
      <c r="A25" s="23" t="s">
        <v>73</v>
      </c>
      <c r="B25" s="28" t="s">
        <v>113</v>
      </c>
      <c r="C25" s="39">
        <f>LOOKUP(C11,'Data Charts'!$A$5:$A$155,'Data Charts'!$C$5:$C$155)</f>
        <v>1520000</v>
      </c>
      <c r="D25" s="23" t="s">
        <v>3</v>
      </c>
      <c r="G25" s="40"/>
    </row>
    <row r="26" spans="1:7">
      <c r="A26" s="23" t="s">
        <v>112</v>
      </c>
      <c r="B26" s="28" t="s">
        <v>4</v>
      </c>
      <c r="C26" s="41">
        <f>C13*C25</f>
        <v>7660800000</v>
      </c>
      <c r="D26" s="23" t="s">
        <v>5</v>
      </c>
    </row>
    <row r="27" spans="1:7">
      <c r="A27" s="23" t="s">
        <v>6</v>
      </c>
      <c r="B27" s="28" t="s">
        <v>7</v>
      </c>
      <c r="C27" s="24">
        <v>120</v>
      </c>
      <c r="D27" s="23" t="s">
        <v>8</v>
      </c>
    </row>
    <row r="28" spans="1:7">
      <c r="A28" s="28" t="s">
        <v>9</v>
      </c>
      <c r="B28" s="28" t="s">
        <v>7</v>
      </c>
      <c r="C28" s="36">
        <f>C27/32.174</f>
        <v>3.7297196494063529</v>
      </c>
      <c r="D28" s="23" t="s">
        <v>12</v>
      </c>
    </row>
    <row r="29" spans="1:7">
      <c r="A29" s="23" t="s">
        <v>68</v>
      </c>
      <c r="B29" s="28" t="s">
        <v>10</v>
      </c>
      <c r="C29" s="24">
        <v>2000</v>
      </c>
      <c r="D29" s="23" t="s">
        <v>11</v>
      </c>
    </row>
    <row r="30" spans="1:7">
      <c r="A30" s="23" t="s">
        <v>123</v>
      </c>
      <c r="B30" s="28" t="s">
        <v>122</v>
      </c>
      <c r="C30" s="24">
        <v>300</v>
      </c>
      <c r="D30" s="23" t="s">
        <v>14</v>
      </c>
    </row>
    <row r="31" spans="1:7">
      <c r="A31" s="23" t="s">
        <v>63</v>
      </c>
      <c r="B31" s="28" t="s">
        <v>16</v>
      </c>
      <c r="C31" s="42">
        <f>14.54*((55096-(C30-361))/(55096+(C30-361)))</f>
        <v>14.572231852457527</v>
      </c>
      <c r="D31" s="23" t="s">
        <v>124</v>
      </c>
    </row>
    <row r="32" spans="1:7">
      <c r="A32" s="28" t="s">
        <v>9</v>
      </c>
      <c r="B32" s="28" t="s">
        <v>16</v>
      </c>
      <c r="C32" s="36">
        <f>C31*144</f>
        <v>2098.4013867538838</v>
      </c>
      <c r="D32" s="23" t="s">
        <v>155</v>
      </c>
    </row>
    <row r="33" spans="1:5">
      <c r="A33" s="23" t="s">
        <v>69</v>
      </c>
      <c r="B33" s="28" t="s">
        <v>64</v>
      </c>
      <c r="C33" s="23">
        <f>(C32/(C28*C29^2))^0.5</f>
        <v>1.1859767969327669E-2</v>
      </c>
    </row>
    <row r="34" spans="1:5">
      <c r="A34" s="23" t="s">
        <v>19</v>
      </c>
      <c r="B34" s="28" t="s">
        <v>65</v>
      </c>
      <c r="C34" s="23">
        <f>C26/(C28*C29^2*C14^3)</f>
        <v>9.4323588422830522E-6</v>
      </c>
    </row>
    <row r="35" spans="1:5">
      <c r="A35" s="23" t="s">
        <v>21</v>
      </c>
      <c r="B35" s="28" t="s">
        <v>22</v>
      </c>
      <c r="C35" s="23">
        <f>(C14*0.0414*C34^1.11)/(C33*(TANH(18.2*C34^0.237))^1.5)</f>
        <v>4.6632917361868189E-3</v>
      </c>
      <c r="D35" s="23" t="s">
        <v>14</v>
      </c>
    </row>
    <row r="36" spans="1:5">
      <c r="A36" s="28" t="s">
        <v>9</v>
      </c>
      <c r="B36" s="28" t="s">
        <v>22</v>
      </c>
      <c r="C36" s="26">
        <f>C35*12</f>
        <v>5.5959500834241824E-2</v>
      </c>
      <c r="D36" s="23" t="s">
        <v>23</v>
      </c>
    </row>
    <row r="37" spans="1:5">
      <c r="A37" s="28" t="s">
        <v>9</v>
      </c>
      <c r="B37" s="28" t="s">
        <v>22</v>
      </c>
      <c r="C37" s="26">
        <f>C36*25.4</f>
        <v>1.4213713211897423</v>
      </c>
      <c r="D37" s="23" t="s">
        <v>70</v>
      </c>
    </row>
    <row r="38" spans="1:5">
      <c r="A38" s="34" t="s">
        <v>86</v>
      </c>
      <c r="B38" s="28" t="s">
        <v>89</v>
      </c>
      <c r="C38" s="43">
        <f>4.78*(C12*C13/(SQRT(C8*C6)*C14^2.5))^0.805</f>
        <v>5.0827512222700507E-5</v>
      </c>
      <c r="D38" s="23" t="s">
        <v>87</v>
      </c>
      <c r="E38" s="44"/>
    </row>
    <row r="39" spans="1:5">
      <c r="A39" s="34" t="s">
        <v>88</v>
      </c>
      <c r="B39" s="28" t="s">
        <v>90</v>
      </c>
      <c r="C39" s="43">
        <f>1.98*(C12*C13/(SQRT(C8*C6)*C14^2.5))^0.735</f>
        <v>5.6990116159874588E-5</v>
      </c>
      <c r="D39" s="23" t="s">
        <v>87</v>
      </c>
      <c r="E39" s="44"/>
    </row>
    <row r="40" spans="1:5">
      <c r="A40" s="23" t="s">
        <v>163</v>
      </c>
      <c r="B40" s="28" t="s">
        <v>24</v>
      </c>
      <c r="C40" s="23">
        <f>(C29*0.00617*C34^0.852)/(C33*TANH(26*C34^0.3))</f>
        <v>8.1387593417899709E-2</v>
      </c>
      <c r="D40" s="23" t="s">
        <v>11</v>
      </c>
      <c r="E40" s="44"/>
    </row>
    <row r="41" spans="1:5">
      <c r="A41" s="28" t="s">
        <v>9</v>
      </c>
      <c r="B41" s="28" t="s">
        <v>24</v>
      </c>
      <c r="C41" s="26">
        <f>C40*12</f>
        <v>0.97665112101479656</v>
      </c>
      <c r="D41" s="23" t="s">
        <v>25</v>
      </c>
      <c r="E41" s="44"/>
    </row>
    <row r="42" spans="1:5">
      <c r="A42" s="45" t="s">
        <v>301</v>
      </c>
      <c r="E42" s="44"/>
    </row>
    <row r="43" spans="1:5" ht="18">
      <c r="A43" s="28" t="s">
        <v>83</v>
      </c>
      <c r="C43" s="38" t="str">
        <f>IF(C41&lt;4,"Safe to Blast","Not Safe to Blast")</f>
        <v>Safe to Blast</v>
      </c>
    </row>
  </sheetData>
  <sheetProtection password="CB75" sheet="1" objects="1" scenarios="1"/>
  <phoneticPr fontId="0" type="noConversion"/>
  <pageMargins left="0.2" right="0.2" top="0.2" bottom="0.2" header="0.5" footer="0.5"/>
  <pageSetup orientation="portrait" r:id="rId1"/>
  <headerFooter alignWithMargins="0"/>
  <drawing r:id="rId2"/>
  <legacyDrawing r:id="rId3"/>
  <oleObjects>
    <oleObject progId="MSPhotoEd.3" shapeId="3078" r:id="rId4"/>
  </oleObjects>
</worksheet>
</file>

<file path=xl/worksheets/sheet2.xml><?xml version="1.0" encoding="utf-8"?>
<worksheet xmlns="http://schemas.openxmlformats.org/spreadsheetml/2006/main" xmlns:r="http://schemas.openxmlformats.org/officeDocument/2006/relationships">
  <dimension ref="A1:F51"/>
  <sheetViews>
    <sheetView workbookViewId="0">
      <selection activeCell="C5" sqref="C5"/>
    </sheetView>
  </sheetViews>
  <sheetFormatPr defaultRowHeight="12.75"/>
  <cols>
    <col min="1" max="1" width="57.7109375" style="23" customWidth="1"/>
    <col min="2" max="2" width="9.140625" style="23"/>
    <col min="3" max="3" width="13.42578125" style="23" customWidth="1"/>
    <col min="4" max="5" width="9.140625" style="23"/>
    <col min="6" max="6" width="12.42578125" style="23" bestFit="1" customWidth="1"/>
    <col min="7" max="16384" width="9.140625" style="23"/>
  </cols>
  <sheetData>
    <row r="1" spans="1:4" ht="18">
      <c r="A1" s="22" t="s">
        <v>151</v>
      </c>
    </row>
    <row r="2" spans="1:4">
      <c r="C2" s="24"/>
      <c r="D2" s="23" t="s">
        <v>120</v>
      </c>
    </row>
    <row r="3" spans="1:4" ht="12.75" customHeight="1">
      <c r="A3" s="25"/>
      <c r="C3" s="26"/>
      <c r="D3" s="23" t="s">
        <v>121</v>
      </c>
    </row>
    <row r="4" spans="1:4" ht="23.25">
      <c r="A4" s="27" t="s">
        <v>81</v>
      </c>
    </row>
    <row r="5" spans="1:4">
      <c r="A5" s="23" t="s">
        <v>40</v>
      </c>
      <c r="B5" s="28" t="s">
        <v>41</v>
      </c>
      <c r="C5" s="24">
        <v>12.75</v>
      </c>
      <c r="D5" s="23" t="s">
        <v>23</v>
      </c>
    </row>
    <row r="6" spans="1:4">
      <c r="A6" s="23" t="s">
        <v>42</v>
      </c>
      <c r="B6" s="28" t="s">
        <v>43</v>
      </c>
      <c r="C6" s="24">
        <v>0.25</v>
      </c>
      <c r="D6" s="23" t="s">
        <v>23</v>
      </c>
    </row>
    <row r="7" spans="1:4">
      <c r="A7" s="23" t="s">
        <v>44</v>
      </c>
      <c r="B7" s="28" t="s">
        <v>45</v>
      </c>
      <c r="C7" s="24">
        <v>52000</v>
      </c>
      <c r="D7" s="23" t="s">
        <v>17</v>
      </c>
    </row>
    <row r="8" spans="1:4">
      <c r="A8" s="23" t="s">
        <v>84</v>
      </c>
      <c r="B8" s="28" t="s">
        <v>85</v>
      </c>
      <c r="C8" s="29">
        <v>29500000</v>
      </c>
      <c r="D8" s="23" t="s">
        <v>17</v>
      </c>
    </row>
    <row r="9" spans="1:4">
      <c r="A9" s="23" t="s">
        <v>49</v>
      </c>
      <c r="B9" s="28" t="s">
        <v>50</v>
      </c>
      <c r="C9" s="24">
        <v>968</v>
      </c>
      <c r="D9" s="23" t="s">
        <v>51</v>
      </c>
    </row>
    <row r="10" spans="1:4">
      <c r="A10" s="23" t="s">
        <v>46</v>
      </c>
      <c r="B10" s="28" t="s">
        <v>47</v>
      </c>
      <c r="C10" s="30">
        <v>90</v>
      </c>
      <c r="D10" s="23" t="s">
        <v>48</v>
      </c>
    </row>
    <row r="11" spans="1:4">
      <c r="A11" s="23" t="s">
        <v>2</v>
      </c>
      <c r="B11" s="28"/>
      <c r="C11" s="31">
        <v>1</v>
      </c>
      <c r="D11" s="32" t="str">
        <f>LOOKUP(C11,'Data Charts'!$A$5:$A$155,'Data Charts'!$B$5:$B$155)</f>
        <v>ANFO (94/6)</v>
      </c>
    </row>
    <row r="12" spans="1:4">
      <c r="A12" s="23" t="s">
        <v>67</v>
      </c>
      <c r="B12" s="28" t="s">
        <v>52</v>
      </c>
      <c r="C12" s="33">
        <f>LOOKUP(C11,'Data Charts'!A5:A37,'Data Charts'!D5:D37)</f>
        <v>1</v>
      </c>
    </row>
    <row r="13" spans="1:4">
      <c r="A13" s="23" t="s">
        <v>71</v>
      </c>
      <c r="B13" s="28" t="s">
        <v>92</v>
      </c>
      <c r="C13" s="24">
        <v>560</v>
      </c>
      <c r="D13" s="23" t="s">
        <v>1</v>
      </c>
    </row>
    <row r="14" spans="1:4">
      <c r="A14" s="23" t="s">
        <v>53</v>
      </c>
      <c r="B14" s="35" t="s">
        <v>58</v>
      </c>
      <c r="C14" s="24">
        <v>9</v>
      </c>
    </row>
    <row r="15" spans="1:4">
      <c r="A15" s="23" t="s">
        <v>91</v>
      </c>
      <c r="B15" s="35" t="s">
        <v>0</v>
      </c>
      <c r="C15" s="46">
        <f>C13*C14</f>
        <v>5040</v>
      </c>
      <c r="D15" s="23" t="s">
        <v>1</v>
      </c>
    </row>
    <row r="16" spans="1:4">
      <c r="A16" s="23" t="s">
        <v>54</v>
      </c>
      <c r="B16" s="28" t="s">
        <v>60</v>
      </c>
      <c r="C16" s="24">
        <v>28</v>
      </c>
      <c r="D16" s="23" t="s">
        <v>14</v>
      </c>
    </row>
    <row r="17" spans="1:5">
      <c r="A17" s="23" t="s">
        <v>93</v>
      </c>
      <c r="B17" s="28" t="s">
        <v>94</v>
      </c>
      <c r="C17" s="23">
        <f>C16*C14</f>
        <v>252</v>
      </c>
      <c r="D17" s="23" t="s">
        <v>14</v>
      </c>
    </row>
    <row r="18" spans="1:5">
      <c r="A18" s="34" t="s">
        <v>56</v>
      </c>
      <c r="B18" s="28" t="s">
        <v>13</v>
      </c>
      <c r="C18" s="24">
        <v>272.44900000000001</v>
      </c>
      <c r="D18" s="23" t="s">
        <v>14</v>
      </c>
    </row>
    <row r="19" spans="1:5">
      <c r="A19" s="34" t="s">
        <v>107</v>
      </c>
      <c r="B19" s="28"/>
      <c r="C19" s="47" t="str">
        <f>IF(C16&gt;C18,"YES","NO")</f>
        <v>NO</v>
      </c>
    </row>
    <row r="20" spans="1:5">
      <c r="A20" s="34" t="s">
        <v>159</v>
      </c>
      <c r="B20" s="48"/>
      <c r="C20" s="49" t="str">
        <f>IF((C18/C17)&lt;=1,"YES","NO")</f>
        <v>NO</v>
      </c>
      <c r="D20" s="28" t="s">
        <v>157</v>
      </c>
      <c r="E20" s="50">
        <f>C18/C17</f>
        <v>1.0811468253968255</v>
      </c>
    </row>
    <row r="21" spans="1:5">
      <c r="A21" s="28"/>
      <c r="B21" s="28"/>
      <c r="C21" s="49" t="str">
        <f>IF(C16&gt;C18,"Then Treat Each Charge as an Single Point Charge @ R",IF((C18/C17)&lt;=1,"Then It is Treated as a Parallel Line Charge @ R","Then It is Treated as an Entire Single Point Charge @ R"))</f>
        <v>Then It is Treated as an Entire Single Point Charge @ R</v>
      </c>
    </row>
    <row r="22" spans="1:5">
      <c r="A22" s="23" t="s">
        <v>77</v>
      </c>
      <c r="B22" s="35" t="s">
        <v>78</v>
      </c>
      <c r="C22" s="36">
        <f>C9*C5/(2*C6)</f>
        <v>24684</v>
      </c>
      <c r="D22" s="23" t="s">
        <v>17</v>
      </c>
    </row>
    <row r="23" spans="1:5">
      <c r="A23" s="23" t="s">
        <v>105</v>
      </c>
      <c r="B23" s="35" t="s">
        <v>76</v>
      </c>
      <c r="C23" s="36">
        <f>IF(C16&gt;C18,4.44*C8*(C12*C13/(SQRT(C8*C6)*C18^2.5))^0.77,IF((C18/C17)&lt;=1,4.44*C8*(1.4*C12*(C15/C17)/(SQRT(C8*C6)*C18^1.5))^0.77,4.44*C8*(C12*C15/(SQRT(C8*C6)*C18^2.5))^0.77))</f>
        <v>4325.7764765395495</v>
      </c>
      <c r="D23" s="23" t="s">
        <v>17</v>
      </c>
    </row>
    <row r="24" spans="1:5">
      <c r="A24" s="23" t="s">
        <v>109</v>
      </c>
      <c r="B24" s="35" t="s">
        <v>110</v>
      </c>
      <c r="C24" s="36">
        <f>C22+C23</f>
        <v>29009.776476539548</v>
      </c>
      <c r="D24" s="23" t="s">
        <v>17</v>
      </c>
    </row>
    <row r="25" spans="1:5">
      <c r="A25" s="23" t="s">
        <v>102</v>
      </c>
      <c r="B25" s="35" t="s">
        <v>79</v>
      </c>
      <c r="C25" s="36">
        <f>(C24^2-C24*C23+C23^2)^0.5</f>
        <v>27107.003978158213</v>
      </c>
      <c r="D25" s="23" t="s">
        <v>17</v>
      </c>
    </row>
    <row r="26" spans="1:5">
      <c r="A26" s="23" t="s">
        <v>103</v>
      </c>
      <c r="B26" s="35" t="s">
        <v>80</v>
      </c>
      <c r="C26" s="37">
        <f>C25*100/C7</f>
        <v>52.12885380415041</v>
      </c>
      <c r="D26" s="23" t="s">
        <v>48</v>
      </c>
    </row>
    <row r="28" spans="1:5" ht="18">
      <c r="A28" s="28" t="s">
        <v>83</v>
      </c>
      <c r="C28" s="38" t="str">
        <f>IF(C26&lt;C10,"Safe to Blast","Not Safe to Blast")</f>
        <v>Safe to Blast</v>
      </c>
    </row>
    <row r="30" spans="1:5" ht="23.25">
      <c r="A30" s="27" t="s">
        <v>82</v>
      </c>
    </row>
    <row r="32" spans="1:5">
      <c r="A32" s="23" t="s">
        <v>73</v>
      </c>
      <c r="B32" s="28" t="s">
        <v>113</v>
      </c>
      <c r="C32" s="39">
        <f>LOOKUP(C11,'Data Charts'!$A$5:$A$155,'Data Charts'!$C$5:$C$155)</f>
        <v>1520000</v>
      </c>
      <c r="D32" s="23" t="s">
        <v>3</v>
      </c>
    </row>
    <row r="33" spans="1:6">
      <c r="A33" s="23" t="s">
        <v>72</v>
      </c>
      <c r="B33" s="28" t="s">
        <v>66</v>
      </c>
      <c r="C33" s="41">
        <f>C13*C32</f>
        <v>851200000</v>
      </c>
      <c r="D33" s="23" t="s">
        <v>5</v>
      </c>
    </row>
    <row r="34" spans="1:6">
      <c r="A34" s="23" t="s">
        <v>114</v>
      </c>
      <c r="B34" s="28" t="s">
        <v>4</v>
      </c>
      <c r="C34" s="41">
        <f>C15*C32</f>
        <v>7660800000</v>
      </c>
      <c r="D34" s="23" t="s">
        <v>5</v>
      </c>
    </row>
    <row r="35" spans="1:6">
      <c r="A35" s="23" t="s">
        <v>6</v>
      </c>
      <c r="B35" s="28" t="s">
        <v>7</v>
      </c>
      <c r="C35" s="24">
        <v>120</v>
      </c>
      <c r="D35" s="23" t="s">
        <v>8</v>
      </c>
    </row>
    <row r="36" spans="1:6">
      <c r="A36" s="28" t="s">
        <v>9</v>
      </c>
      <c r="B36" s="28" t="s">
        <v>7</v>
      </c>
      <c r="C36" s="36">
        <f>C35/32.174</f>
        <v>3.7297196494063529</v>
      </c>
      <c r="D36" s="23" t="s">
        <v>12</v>
      </c>
    </row>
    <row r="37" spans="1:6">
      <c r="A37" s="23" t="s">
        <v>68</v>
      </c>
      <c r="B37" s="28" t="s">
        <v>10</v>
      </c>
      <c r="C37" s="24">
        <v>2000</v>
      </c>
      <c r="D37" s="23" t="s">
        <v>11</v>
      </c>
    </row>
    <row r="38" spans="1:6">
      <c r="A38" s="23" t="s">
        <v>123</v>
      </c>
      <c r="B38" s="28" t="s">
        <v>122</v>
      </c>
      <c r="C38" s="24">
        <v>300</v>
      </c>
      <c r="D38" s="23" t="s">
        <v>14</v>
      </c>
    </row>
    <row r="39" spans="1:6">
      <c r="A39" s="23" t="s">
        <v>63</v>
      </c>
      <c r="B39" s="28" t="s">
        <v>16</v>
      </c>
      <c r="C39" s="42">
        <f>14.54*((55096-(C38-361))/(55096+(C38-361)))</f>
        <v>14.572231852457527</v>
      </c>
      <c r="D39" s="23" t="s">
        <v>124</v>
      </c>
    </row>
    <row r="40" spans="1:6">
      <c r="A40" s="28" t="s">
        <v>9</v>
      </c>
      <c r="B40" s="28" t="s">
        <v>16</v>
      </c>
      <c r="C40" s="36">
        <f>C39*144</f>
        <v>2098.4013867538838</v>
      </c>
      <c r="D40" s="23" t="s">
        <v>155</v>
      </c>
    </row>
    <row r="41" spans="1:6">
      <c r="A41" s="23" t="s">
        <v>69</v>
      </c>
      <c r="B41" s="28" t="s">
        <v>64</v>
      </c>
      <c r="C41" s="23">
        <f>(C40/(C36*C37^2))^0.5</f>
        <v>1.1859767969327669E-2</v>
      </c>
    </row>
    <row r="42" spans="1:6">
      <c r="A42" s="23" t="s">
        <v>19</v>
      </c>
      <c r="B42" s="28" t="s">
        <v>65</v>
      </c>
      <c r="C42" s="23">
        <f>IF(C16&gt;C18,C33/(C36*C37^2*C18^3),IF((C18/C17)&lt;=1,C34/(C36*C37^2*C18^3),C34/(C36*C37^2*C18^3)))</f>
        <v>2.5391145251047319E-5</v>
      </c>
      <c r="E42" s="44"/>
    </row>
    <row r="43" spans="1:6">
      <c r="A43" s="23" t="s">
        <v>21</v>
      </c>
      <c r="B43" s="28" t="s">
        <v>22</v>
      </c>
      <c r="C43" s="23">
        <f>(C18*0.0414*C42^1.11)/(C41*(TANH(18.2*C42^0.237))^1.5)</f>
        <v>8.8033886414934544E-3</v>
      </c>
      <c r="D43" s="23" t="s">
        <v>14</v>
      </c>
      <c r="E43" s="44"/>
      <c r="F43" s="41"/>
    </row>
    <row r="44" spans="1:6">
      <c r="A44" s="28" t="s">
        <v>9</v>
      </c>
      <c r="B44" s="28" t="s">
        <v>22</v>
      </c>
      <c r="C44" s="26">
        <f>C43*12</f>
        <v>0.10564066369792145</v>
      </c>
      <c r="D44" s="23" t="s">
        <v>23</v>
      </c>
      <c r="E44" s="44"/>
    </row>
    <row r="45" spans="1:6">
      <c r="A45" s="28" t="s">
        <v>9</v>
      </c>
      <c r="B45" s="28" t="s">
        <v>22</v>
      </c>
      <c r="C45" s="26">
        <f>C44*25.4</f>
        <v>2.6832728579272049</v>
      </c>
      <c r="D45" s="23" t="s">
        <v>70</v>
      </c>
      <c r="E45" s="44"/>
    </row>
    <row r="46" spans="1:6">
      <c r="A46" s="34" t="s">
        <v>86</v>
      </c>
      <c r="B46" s="28" t="s">
        <v>89</v>
      </c>
      <c r="C46" s="43">
        <f>IF(C16&gt;C18,4.78*(C12*C13/(SQRT(C8*C6)*C18^2.5))^0.805,IF((C18/C17)&lt;=1,4.78*(1.3*C12*(C15/C17)/(SQRT(C8*C6)*C18^1.5))^0.805,4.78*(C12*C15/(SQRT(C8*C6)*C18^2.5))^0.805))</f>
        <v>9.876402071656928E-5</v>
      </c>
      <c r="D46" s="23" t="s">
        <v>87</v>
      </c>
      <c r="E46" s="44"/>
    </row>
    <row r="47" spans="1:6">
      <c r="A47" s="34" t="s">
        <v>88</v>
      </c>
      <c r="B47" s="28" t="s">
        <v>90</v>
      </c>
      <c r="C47" s="43">
        <f>IF(C16&gt;C18,1.98*(C12*C13/(SQRT(C8*C6)*C18^2.5))^0.735,IF((C18/C17)&lt;=1,1.98*(1.3*C12*(C15/C17)/(SQRT(C8*C6)*C18^1.5))^0.735,1.98*(C12*C15/(SQRT(C8*C6)*C18^2.5))^0.735))</f>
        <v>1.045231530119515E-4</v>
      </c>
      <c r="D47" s="23" t="s">
        <v>87</v>
      </c>
      <c r="E47" s="44"/>
    </row>
    <row r="48" spans="1:6">
      <c r="A48" s="23" t="s">
        <v>162</v>
      </c>
      <c r="B48" s="28" t="s">
        <v>24</v>
      </c>
      <c r="C48" s="23">
        <f>(C37*0.00617*C42^0.852)/(C41*TANH(26*C42^0.3))</f>
        <v>0.15891342168705272</v>
      </c>
      <c r="D48" s="23" t="s">
        <v>11</v>
      </c>
      <c r="E48" s="44"/>
    </row>
    <row r="49" spans="1:5">
      <c r="A49" s="28" t="s">
        <v>9</v>
      </c>
      <c r="B49" s="28" t="s">
        <v>24</v>
      </c>
      <c r="C49" s="43">
        <f>C48*12</f>
        <v>1.9069610602446327</v>
      </c>
      <c r="D49" s="23" t="s">
        <v>25</v>
      </c>
      <c r="E49" s="44"/>
    </row>
    <row r="50" spans="1:5">
      <c r="A50" s="45" t="s">
        <v>301</v>
      </c>
      <c r="E50" s="44"/>
    </row>
    <row r="51" spans="1:5" ht="18">
      <c r="A51" s="28" t="s">
        <v>83</v>
      </c>
      <c r="C51" s="38" t="str">
        <f>IF(C49&lt;4,"Safe to Blast","Not Safe to Blast")</f>
        <v>Safe to Blast</v>
      </c>
    </row>
  </sheetData>
  <sheetProtection password="CB75" sheet="1" objects="1" scenarios="1"/>
  <phoneticPr fontId="0" type="noConversion"/>
  <pageMargins left="0.2" right="0.2" top="0.2" bottom="0.2" header="0.5" footer="0.5"/>
  <pageSetup orientation="portrait" r:id="rId1"/>
  <headerFooter alignWithMargins="0"/>
  <drawing r:id="rId2"/>
  <legacyDrawing r:id="rId3"/>
  <oleObjects>
    <oleObject progId="MSPhotoEd.3" shapeId="4102" r:id="rId4"/>
  </oleObjects>
</worksheet>
</file>

<file path=xl/worksheets/sheet3.xml><?xml version="1.0" encoding="utf-8"?>
<worksheet xmlns="http://schemas.openxmlformats.org/spreadsheetml/2006/main" xmlns:r="http://schemas.openxmlformats.org/officeDocument/2006/relationships">
  <dimension ref="A1:E57"/>
  <sheetViews>
    <sheetView workbookViewId="0">
      <selection activeCell="C5" sqref="C5"/>
    </sheetView>
  </sheetViews>
  <sheetFormatPr defaultRowHeight="12.75"/>
  <cols>
    <col min="1" max="1" width="57.7109375" style="23" customWidth="1"/>
    <col min="2" max="2" width="9.140625" style="23"/>
    <col min="3" max="3" width="13.42578125" style="23" customWidth="1"/>
    <col min="4" max="5" width="9.140625" style="23"/>
    <col min="6" max="8" width="12.42578125" style="23" bestFit="1" customWidth="1"/>
    <col min="9" max="16384" width="9.140625" style="23"/>
  </cols>
  <sheetData>
    <row r="1" spans="1:4" ht="18">
      <c r="A1" s="22" t="s">
        <v>152</v>
      </c>
    </row>
    <row r="2" spans="1:4">
      <c r="C2" s="24"/>
      <c r="D2" s="23" t="s">
        <v>120</v>
      </c>
    </row>
    <row r="3" spans="1:4" ht="12.75" customHeight="1">
      <c r="A3" s="25"/>
      <c r="C3" s="26"/>
      <c r="D3" s="23" t="s">
        <v>121</v>
      </c>
    </row>
    <row r="4" spans="1:4" ht="23.25">
      <c r="A4" s="27" t="s">
        <v>81</v>
      </c>
    </row>
    <row r="5" spans="1:4">
      <c r="A5" s="23" t="s">
        <v>40</v>
      </c>
      <c r="B5" s="28" t="s">
        <v>41</v>
      </c>
      <c r="C5" s="24">
        <v>12.75</v>
      </c>
      <c r="D5" s="23" t="s">
        <v>23</v>
      </c>
    </row>
    <row r="6" spans="1:4">
      <c r="A6" s="23" t="s">
        <v>42</v>
      </c>
      <c r="B6" s="28" t="s">
        <v>43</v>
      </c>
      <c r="C6" s="24">
        <v>0.25</v>
      </c>
      <c r="D6" s="23" t="s">
        <v>23</v>
      </c>
    </row>
    <row r="7" spans="1:4">
      <c r="A7" s="23" t="s">
        <v>44</v>
      </c>
      <c r="B7" s="28" t="s">
        <v>45</v>
      </c>
      <c r="C7" s="24">
        <v>52000</v>
      </c>
      <c r="D7" s="23" t="s">
        <v>17</v>
      </c>
    </row>
    <row r="8" spans="1:4">
      <c r="A8" s="23" t="s">
        <v>84</v>
      </c>
      <c r="B8" s="28" t="s">
        <v>85</v>
      </c>
      <c r="C8" s="29">
        <v>29500000</v>
      </c>
      <c r="D8" s="23" t="s">
        <v>17</v>
      </c>
    </row>
    <row r="9" spans="1:4">
      <c r="A9" s="23" t="s">
        <v>49</v>
      </c>
      <c r="B9" s="28" t="s">
        <v>50</v>
      </c>
      <c r="C9" s="24">
        <v>968</v>
      </c>
      <c r="D9" s="23" t="s">
        <v>51</v>
      </c>
    </row>
    <row r="10" spans="1:4">
      <c r="A10" s="23" t="s">
        <v>46</v>
      </c>
      <c r="B10" s="28" t="s">
        <v>47</v>
      </c>
      <c r="C10" s="30">
        <v>90</v>
      </c>
      <c r="D10" s="23" t="s">
        <v>48</v>
      </c>
    </row>
    <row r="11" spans="1:4">
      <c r="A11" s="23" t="s">
        <v>2</v>
      </c>
      <c r="B11" s="28"/>
      <c r="C11" s="31">
        <v>1</v>
      </c>
      <c r="D11" s="32" t="str">
        <f>LOOKUP(C11,'Data Charts'!$A$5:$A$155,'Data Charts'!$B$5:$B$155)</f>
        <v>ANFO (94/6)</v>
      </c>
    </row>
    <row r="12" spans="1:4">
      <c r="A12" s="23" t="s">
        <v>67</v>
      </c>
      <c r="B12" s="28" t="s">
        <v>52</v>
      </c>
      <c r="C12" s="33">
        <f>LOOKUP(C11,'Data Charts'!A5:A37,'Data Charts'!D5:D37)</f>
        <v>1</v>
      </c>
    </row>
    <row r="13" spans="1:4">
      <c r="A13" s="23" t="s">
        <v>99</v>
      </c>
      <c r="B13" s="28" t="s">
        <v>92</v>
      </c>
      <c r="C13" s="24">
        <v>560</v>
      </c>
      <c r="D13" s="23" t="s">
        <v>1</v>
      </c>
    </row>
    <row r="14" spans="1:4">
      <c r="A14" s="23" t="s">
        <v>53</v>
      </c>
      <c r="B14" s="35" t="s">
        <v>58</v>
      </c>
      <c r="C14" s="24">
        <v>9</v>
      </c>
    </row>
    <row r="15" spans="1:4">
      <c r="A15" s="23" t="s">
        <v>95</v>
      </c>
      <c r="B15" s="35" t="s">
        <v>59</v>
      </c>
      <c r="C15" s="24">
        <v>5</v>
      </c>
    </row>
    <row r="16" spans="1:4">
      <c r="A16" s="23" t="s">
        <v>118</v>
      </c>
      <c r="B16" s="35" t="s">
        <v>0</v>
      </c>
      <c r="C16" s="23">
        <f>C14*C13*C15</f>
        <v>25200</v>
      </c>
      <c r="D16" s="23" t="s">
        <v>1</v>
      </c>
    </row>
    <row r="17" spans="1:5">
      <c r="A17" s="23" t="s">
        <v>156</v>
      </c>
      <c r="B17" s="35" t="s">
        <v>92</v>
      </c>
      <c r="C17" s="23">
        <f>C13*C14</f>
        <v>5040</v>
      </c>
      <c r="D17" s="23" t="s">
        <v>1</v>
      </c>
    </row>
    <row r="18" spans="1:5">
      <c r="A18" s="23" t="s">
        <v>96</v>
      </c>
      <c r="B18" s="28" t="s">
        <v>60</v>
      </c>
      <c r="C18" s="24">
        <v>28</v>
      </c>
      <c r="D18" s="23" t="s">
        <v>14</v>
      </c>
    </row>
    <row r="19" spans="1:5">
      <c r="A19" s="23" t="s">
        <v>55</v>
      </c>
      <c r="B19" s="28" t="s">
        <v>61</v>
      </c>
      <c r="C19" s="24">
        <v>32</v>
      </c>
      <c r="D19" s="23" t="s">
        <v>14</v>
      </c>
    </row>
    <row r="20" spans="1:5">
      <c r="A20" s="23" t="s">
        <v>93</v>
      </c>
      <c r="B20" s="28" t="s">
        <v>94</v>
      </c>
      <c r="C20" s="23">
        <f>C14*C18</f>
        <v>252</v>
      </c>
      <c r="D20" s="23" t="s">
        <v>14</v>
      </c>
    </row>
    <row r="21" spans="1:5">
      <c r="A21" s="23" t="s">
        <v>57</v>
      </c>
      <c r="B21" s="28" t="s">
        <v>108</v>
      </c>
      <c r="C21" s="24">
        <v>378</v>
      </c>
      <c r="D21" s="23" t="s">
        <v>14</v>
      </c>
    </row>
    <row r="22" spans="1:5">
      <c r="A22" s="34" t="s">
        <v>97</v>
      </c>
      <c r="B22" s="28" t="s">
        <v>75</v>
      </c>
      <c r="C22" s="23">
        <f>C21+((C15-1)*C19)/2</f>
        <v>442</v>
      </c>
      <c r="D22" s="23" t="s">
        <v>14</v>
      </c>
    </row>
    <row r="23" spans="1:5">
      <c r="A23" s="34" t="s">
        <v>149</v>
      </c>
      <c r="B23" s="28"/>
      <c r="C23" s="47" t="str">
        <f>IF(C18&gt;C21,"YES","NO")</f>
        <v>NO</v>
      </c>
    </row>
    <row r="24" spans="1:5">
      <c r="A24" s="34" t="s">
        <v>106</v>
      </c>
      <c r="B24" s="48"/>
      <c r="C24" s="49" t="str">
        <f>IF((C21/C20)&lt;=1,"YES","NO")</f>
        <v>NO</v>
      </c>
      <c r="D24" s="28" t="s">
        <v>157</v>
      </c>
      <c r="E24" s="50">
        <f>C21/C20</f>
        <v>1.5</v>
      </c>
    </row>
    <row r="25" spans="1:5">
      <c r="A25" s="34" t="s">
        <v>160</v>
      </c>
      <c r="B25" s="28"/>
      <c r="C25" s="49" t="str">
        <f>IF(C21&lt;=1.5*C20,"YES","NO")</f>
        <v>YES</v>
      </c>
      <c r="D25" s="28" t="s">
        <v>158</v>
      </c>
      <c r="E25" s="34">
        <f>1.5*C20</f>
        <v>378</v>
      </c>
    </row>
    <row r="26" spans="1:5">
      <c r="A26" s="34"/>
      <c r="B26" s="28"/>
      <c r="C26" s="49" t="str">
        <f>IF(C18&gt;C21,"Then Treat Each Charge as an Single Point Charge @ R",IF((C21&lt;=1.5*C20),"Then It is Treated as a Parallel Line Charge @ R",IF((C21&gt;=1.5*C20),"Then it is Treated as an Entire Single Point Charge @ Rgcg","Then it is Treated as an Entire Single Point Charge @ R")))</f>
        <v>Then It is Treated as a Parallel Line Charge @ R</v>
      </c>
    </row>
    <row r="27" spans="1:5">
      <c r="A27" s="28"/>
      <c r="B27" s="28"/>
      <c r="C27" s="49" t="str">
        <f>IF(C18&gt;C21,"-",IF((C21&lt;=1.5*C20),"Total Charge Weight is Considered as One Row",IF((C21&gt;=1.5*C20),"Total Charge Weight is Weight of Entire Explosive Grid","-")))</f>
        <v>Total Charge Weight is Considered as One Row</v>
      </c>
    </row>
    <row r="28" spans="1:5">
      <c r="A28" s="23" t="s">
        <v>77</v>
      </c>
      <c r="B28" s="35" t="s">
        <v>78</v>
      </c>
      <c r="C28" s="36">
        <f>C9*C5/(2*C6)</f>
        <v>24684</v>
      </c>
      <c r="D28" s="23" t="s">
        <v>17</v>
      </c>
    </row>
    <row r="29" spans="1:5">
      <c r="A29" s="23" t="str">
        <f>IF(C18&gt;C22,"Circumferential / Longitudinal Stress Caused by Blasting @ A or more",IF(C21&lt;=1.5*C20,"Circumferential / Longitudinal Stress Caused by Blasting @ A","Circumferential / Longitudinal Stress Caused by Blasting @ Rgcg"))</f>
        <v>Circumferential / Longitudinal Stress Caused by Blasting @ A</v>
      </c>
      <c r="B29" s="35" t="s">
        <v>76</v>
      </c>
      <c r="C29" s="36">
        <f>IF(C18&gt;C21,4.44*C8*(C12*C13/(SQRT(C8*C6)*C21^2.5))^0.77,IF((C21&lt;=1.5*C20),4.44*C8*(1.4*C12*(C13/C18)/(SQRT(C8*C6)*C21^1.5))^0.77,IF((C21&gt;=1.5*C20),4.44*C8*(C12*(C17*C15)/(SQRT(C8*C6)*C22^2.5))^0.77,4.44*C8*(C12*C16/(SQRT(C8*C6)*C21^2.5))^0.77)))</f>
        <v>4077.7938066109878</v>
      </c>
      <c r="D29" s="23" t="s">
        <v>17</v>
      </c>
    </row>
    <row r="30" spans="1:5">
      <c r="A30" s="23" t="str">
        <f>IF(C18&gt;C22,"Total Combined Hoop Stress and Circumferential Stress @ A or more",IF(C21&lt;=1.5*C20,"Total Combined Hoop Stress and Circumferential Stress @ A","Total Combined Hoop Stress and Circumferential Stress @ Rgcg"))</f>
        <v>Total Combined Hoop Stress and Circumferential Stress @ A</v>
      </c>
      <c r="B30" s="35" t="s">
        <v>110</v>
      </c>
      <c r="C30" s="36">
        <f>C28+C29</f>
        <v>28761.793806610989</v>
      </c>
      <c r="D30" s="23" t="s">
        <v>17</v>
      </c>
    </row>
    <row r="31" spans="1:5">
      <c r="A31" s="23" t="str">
        <f>IF(C18&gt;C22,"Total Combined Stress - Von Mises Criteria @ A or more",IF(C21&lt;=1.5*C20,"Total Combined Stress - Von Mises Criteria @ A","Total Combined Stress - Von Mises Criteria @ Rgcg"))</f>
        <v>Total Combined Stress - Von Mises Criteria @ A</v>
      </c>
      <c r="B31" s="35" t="s">
        <v>79</v>
      </c>
      <c r="C31" s="36">
        <f>(C30^2-C30*C29+C29^2)^0.5</f>
        <v>26955.231786271488</v>
      </c>
      <c r="D31" s="23" t="s">
        <v>17</v>
      </c>
    </row>
    <row r="32" spans="1:5">
      <c r="A32" s="23" t="str">
        <f>IF(C18&gt;C22,"Calculated Combined Stress Design Factor @ A or more",IF(C21&lt;=1.5*C20,"Calculated Combined Stress Design Factor @ A","Calculated Combined Stress Design Factor @ Rgcg"))</f>
        <v>Calculated Combined Stress Design Factor @ A</v>
      </c>
      <c r="B32" s="35" t="s">
        <v>80</v>
      </c>
      <c r="C32" s="37">
        <f>C31*100/C7</f>
        <v>51.836984204368243</v>
      </c>
      <c r="D32" s="23" t="s">
        <v>48</v>
      </c>
    </row>
    <row r="33" spans="1:5">
      <c r="B33" s="35"/>
      <c r="C33" s="51"/>
    </row>
    <row r="34" spans="1:5" ht="18">
      <c r="A34" s="28" t="s">
        <v>83</v>
      </c>
      <c r="C34" s="38" t="str">
        <f>IF(C32&lt;C10,"Safe to Blast","Not Safe to Blast")</f>
        <v>Safe to Blast</v>
      </c>
    </row>
    <row r="36" spans="1:5" ht="23.25">
      <c r="A36" s="27" t="s">
        <v>82</v>
      </c>
    </row>
    <row r="38" spans="1:5">
      <c r="A38" s="23" t="s">
        <v>73</v>
      </c>
      <c r="B38" s="28" t="s">
        <v>113</v>
      </c>
      <c r="C38" s="39">
        <f>LOOKUP(C11,'Data Charts'!$A$5:$A$155,'Data Charts'!$C$5:$C$155)</f>
        <v>1520000</v>
      </c>
      <c r="D38" s="23" t="s">
        <v>3</v>
      </c>
    </row>
    <row r="39" spans="1:5">
      <c r="A39" s="23" t="s">
        <v>72</v>
      </c>
      <c r="B39" s="28" t="s">
        <v>66</v>
      </c>
      <c r="C39" s="41">
        <f>C13*C38</f>
        <v>851200000</v>
      </c>
      <c r="D39" s="23" t="s">
        <v>5</v>
      </c>
    </row>
    <row r="40" spans="1:5">
      <c r="A40" s="23" t="s">
        <v>115</v>
      </c>
      <c r="B40" s="28" t="s">
        <v>4</v>
      </c>
      <c r="C40" s="41">
        <f>C16*C38</f>
        <v>38304000000</v>
      </c>
      <c r="D40" s="23" t="s">
        <v>5</v>
      </c>
    </row>
    <row r="41" spans="1:5">
      <c r="A41" s="23" t="s">
        <v>6</v>
      </c>
      <c r="B41" s="28" t="s">
        <v>7</v>
      </c>
      <c r="C41" s="24">
        <v>120</v>
      </c>
      <c r="D41" s="23" t="s">
        <v>8</v>
      </c>
    </row>
    <row r="42" spans="1:5">
      <c r="A42" s="28" t="s">
        <v>9</v>
      </c>
      <c r="B42" s="28" t="s">
        <v>7</v>
      </c>
      <c r="C42" s="36">
        <f>C41/32.174</f>
        <v>3.7297196494063529</v>
      </c>
      <c r="D42" s="23" t="s">
        <v>12</v>
      </c>
    </row>
    <row r="43" spans="1:5">
      <c r="A43" s="23" t="s">
        <v>68</v>
      </c>
      <c r="B43" s="28" t="s">
        <v>10</v>
      </c>
      <c r="C43" s="24">
        <v>2000</v>
      </c>
      <c r="D43" s="23" t="s">
        <v>11</v>
      </c>
    </row>
    <row r="44" spans="1:5">
      <c r="A44" s="23" t="s">
        <v>123</v>
      </c>
      <c r="B44" s="28" t="s">
        <v>122</v>
      </c>
      <c r="C44" s="24">
        <v>300</v>
      </c>
      <c r="D44" s="23" t="s">
        <v>14</v>
      </c>
    </row>
    <row r="45" spans="1:5">
      <c r="A45" s="23" t="s">
        <v>63</v>
      </c>
      <c r="B45" s="28" t="s">
        <v>16</v>
      </c>
      <c r="C45" s="42">
        <f>14.54*((55096-(C44-361))/(55096+(C44-361)))</f>
        <v>14.572231852457527</v>
      </c>
      <c r="D45" s="23" t="s">
        <v>124</v>
      </c>
    </row>
    <row r="46" spans="1:5">
      <c r="A46" s="28" t="s">
        <v>9</v>
      </c>
      <c r="B46" s="28" t="s">
        <v>16</v>
      </c>
      <c r="C46" s="36">
        <f>C45*144</f>
        <v>2098.4013867538838</v>
      </c>
      <c r="D46" s="23" t="s">
        <v>18</v>
      </c>
    </row>
    <row r="47" spans="1:5">
      <c r="A47" s="23" t="s">
        <v>69</v>
      </c>
      <c r="B47" s="28" t="s">
        <v>64</v>
      </c>
      <c r="C47" s="23">
        <f>(C46/(C42*C43^2))^0.5</f>
        <v>1.1859767969327669E-2</v>
      </c>
    </row>
    <row r="48" spans="1:5">
      <c r="A48" s="23" t="str">
        <f>IF(C18&gt;C22,"Scaled Energy Release Ratio @ A or more",IF(C21&lt;=1.5*C20,"Scaled Energy Release Ratio @ A","Scaled Energy Release Ratio @ A"))</f>
        <v>Scaled Energy Release Ratio @ A</v>
      </c>
      <c r="B48" s="28" t="s">
        <v>65</v>
      </c>
      <c r="C48" s="23">
        <f>IF(C18&gt;C22,C39/(C42*C43^2*C21^3),IF((C21&lt;=1.5*C20),(C40/C15)/(C42*C43^2*C21^3),IF((C21&gt;=1.5*C20),(C40/C15)/(C42*C43^2*C21^3),C40/(C42*C43^2*C21^3))))</f>
        <v>9.5074170500390368E-6</v>
      </c>
      <c r="E48" s="44"/>
    </row>
    <row r="49" spans="1:5">
      <c r="A49" s="23" t="str">
        <f>IF(C18&gt;C22,"Peak Radial Ground Displacement @ A or more",IF(C21&lt;=1.5*C20,"Peak Radial Ground Displacement @ A","Peak Radial Ground Displacement @ A"))</f>
        <v>Peak Radial Ground Displacement @ A</v>
      </c>
      <c r="B49" s="28" t="s">
        <v>22</v>
      </c>
      <c r="C49" s="23">
        <f>IF(C18&gt;C22,(C21*0.0414*C48^1.11)/(C47*(TANH(18.2*C48^0.237))^1.5),IF((C21&lt;=1.5*C20),(C21*0.0414*C48^1.11)/(C47*(TANH(18.2*C48^0.237))^1.5),(C21*0.0414*C48^1.11)/(C47*(TANH(18.2*C48^0.237))^1.5)))</f>
        <v>4.6860993025132896E-3</v>
      </c>
      <c r="D49" s="23" t="s">
        <v>14</v>
      </c>
      <c r="E49" s="44"/>
    </row>
    <row r="50" spans="1:5">
      <c r="A50" s="28" t="s">
        <v>9</v>
      </c>
      <c r="B50" s="28" t="s">
        <v>22</v>
      </c>
      <c r="C50" s="26">
        <f>C49*12</f>
        <v>5.6233191630159475E-2</v>
      </c>
      <c r="D50" s="23" t="s">
        <v>23</v>
      </c>
      <c r="E50" s="44"/>
    </row>
    <row r="51" spans="1:5">
      <c r="A51" s="28" t="s">
        <v>9</v>
      </c>
      <c r="B51" s="28" t="s">
        <v>22</v>
      </c>
      <c r="C51" s="26">
        <f>C50*25.4</f>
        <v>1.4283230674060505</v>
      </c>
      <c r="D51" s="23" t="s">
        <v>70</v>
      </c>
      <c r="E51" s="44"/>
    </row>
    <row r="52" spans="1:5">
      <c r="A52" s="34" t="str">
        <f>IF(C18&gt;C22,"Maximum Circumferential Strain @ A or more",IF(C21&lt;=1.5*C20,"Maximum Circumferential Strain @ A","Maximum Circumferential Strain @ A"))</f>
        <v>Maximum Circumferential Strain @ A</v>
      </c>
      <c r="B52" s="28" t="s">
        <v>89</v>
      </c>
      <c r="C52" s="43">
        <f>IF(C18&gt;C22,4.78*(C12*C13/(SQRT(C8*C6)*C21^2.5))^0.805,IF((C21&lt;=1.5*C20),4.78*(1.3*C12*(C17/C20)/(SQRT(C8*C6)*C21^1.5))^0.805,IF((C21&gt;=1.5*C20),4.78*(C12*C16/(SQRT(C8*C6)*C21^2.5))^0.805,4.78*(C12*C16/(SQRT(C8*C6)*C21^2.5))^0.805)))</f>
        <v>8.7475388204763174E-5</v>
      </c>
      <c r="D52" s="23" t="s">
        <v>87</v>
      </c>
      <c r="E52" s="44"/>
    </row>
    <row r="53" spans="1:5">
      <c r="A53" s="34" t="str">
        <f>IF(C18&gt;C22,"Maximum Longitudinal Strain @ A or more",IF(C21&lt;=1.5*C20,"Maximum Longitudinal Strain @ A","Maximum Longitudinal Strain @ A"))</f>
        <v>Maximum Longitudinal Strain @ A</v>
      </c>
      <c r="B53" s="28" t="s">
        <v>90</v>
      </c>
      <c r="C53" s="43">
        <f>IF(C18&gt;C22,1.98*(C12*C13/(SQRT(C8*C6)*C21^2.5))^0.735,IF((C21&lt;=1.5*C20),1.98*(1.3*C12*(C17/C20)/(SQRT(C8*C6)*C21^1.5))^0.735,IF((C21&gt;=1.5*C20),1.98*(C12*C16/(SQRT(C8*C6)*C21^2.5))^0.735,1.98*(C12*C16/(SQRT(C8*C6)*C21^2.5))^0.735)))</f>
        <v>9.3558520978726848E-5</v>
      </c>
      <c r="D53" s="23" t="s">
        <v>87</v>
      </c>
      <c r="E53" s="44"/>
    </row>
    <row r="54" spans="1:5">
      <c r="A54" s="23" t="str">
        <f>IF(C18&gt;C22,"Peak Radial Ground Particle Velocity @ A or more - PPV",IF(C21&lt;=1.5*C20,"Peak Radial Ground Particle Velocity @ A - PPV","Peak Radial Ground Particle Velocity @ A - PPV"))</f>
        <v>Peak Radial Ground Particle Velocity @ A - PPV</v>
      </c>
      <c r="B54" s="28" t="s">
        <v>24</v>
      </c>
      <c r="C54" s="23">
        <f>(C43*0.00617*C48^0.852)/(C47*TANH(26*C48^0.3))</f>
        <v>8.1809009188567275E-2</v>
      </c>
      <c r="D54" s="23" t="s">
        <v>11</v>
      </c>
      <c r="E54" s="44"/>
    </row>
    <row r="55" spans="1:5">
      <c r="A55" s="28" t="s">
        <v>9</v>
      </c>
      <c r="B55" s="28" t="s">
        <v>24</v>
      </c>
      <c r="C55" s="43">
        <f>C54*12</f>
        <v>0.98170811026280735</v>
      </c>
      <c r="D55" s="23" t="s">
        <v>25</v>
      </c>
      <c r="E55" s="44"/>
    </row>
    <row r="56" spans="1:5">
      <c r="A56" s="45" t="s">
        <v>301</v>
      </c>
    </row>
    <row r="57" spans="1:5" ht="18">
      <c r="A57" s="28" t="s">
        <v>83</v>
      </c>
      <c r="C57" s="38" t="str">
        <f>IF(C55&lt;4,"Safe to Blast","Not Safe to Blast")</f>
        <v>Safe to Blast</v>
      </c>
    </row>
  </sheetData>
  <sheetProtection password="CB75" sheet="1" objects="1" scenarios="1"/>
  <phoneticPr fontId="0" type="noConversion"/>
  <pageMargins left="0.2" right="0.2" top="0.2" bottom="0.2" header="0.5" footer="0.5"/>
  <pageSetup orientation="portrait" r:id="rId1"/>
  <headerFooter alignWithMargins="0"/>
  <drawing r:id="rId2"/>
  <legacyDrawing r:id="rId3"/>
  <oleObjects>
    <oleObject progId="MSPhotoEd.3" shapeId="5126" r:id="rId4"/>
  </oleObjects>
</worksheet>
</file>

<file path=xl/worksheets/sheet4.xml><?xml version="1.0" encoding="utf-8"?>
<worksheet xmlns="http://schemas.openxmlformats.org/spreadsheetml/2006/main" xmlns:r="http://schemas.openxmlformats.org/officeDocument/2006/relationships">
  <dimension ref="A1:F54"/>
  <sheetViews>
    <sheetView workbookViewId="0">
      <selection activeCell="C5" sqref="C5"/>
    </sheetView>
  </sheetViews>
  <sheetFormatPr defaultRowHeight="12.75"/>
  <cols>
    <col min="1" max="1" width="57.7109375" style="23" customWidth="1"/>
    <col min="2" max="2" width="9.140625" style="23"/>
    <col min="3" max="3" width="13.42578125" style="23" customWidth="1"/>
    <col min="4" max="16384" width="9.140625" style="23"/>
  </cols>
  <sheetData>
    <row r="1" spans="1:4" ht="18">
      <c r="A1" s="22" t="s">
        <v>153</v>
      </c>
    </row>
    <row r="2" spans="1:4">
      <c r="C2" s="24"/>
      <c r="D2" s="23" t="s">
        <v>120</v>
      </c>
    </row>
    <row r="3" spans="1:4" ht="12.75" customHeight="1">
      <c r="A3" s="25"/>
      <c r="C3" s="26"/>
      <c r="D3" s="23" t="s">
        <v>121</v>
      </c>
    </row>
    <row r="4" spans="1:4" ht="23.25">
      <c r="A4" s="27" t="s">
        <v>81</v>
      </c>
    </row>
    <row r="5" spans="1:4">
      <c r="A5" s="23" t="s">
        <v>40</v>
      </c>
      <c r="B5" s="28" t="s">
        <v>41</v>
      </c>
      <c r="C5" s="24">
        <v>12.75</v>
      </c>
      <c r="D5" s="23" t="s">
        <v>23</v>
      </c>
    </row>
    <row r="6" spans="1:4">
      <c r="A6" s="23" t="s">
        <v>42</v>
      </c>
      <c r="B6" s="28" t="s">
        <v>43</v>
      </c>
      <c r="C6" s="24">
        <v>0.25</v>
      </c>
      <c r="D6" s="23" t="s">
        <v>23</v>
      </c>
    </row>
    <row r="7" spans="1:4">
      <c r="A7" s="23" t="s">
        <v>44</v>
      </c>
      <c r="B7" s="28" t="s">
        <v>45</v>
      </c>
      <c r="C7" s="24">
        <v>52000</v>
      </c>
      <c r="D7" s="23" t="s">
        <v>17</v>
      </c>
    </row>
    <row r="8" spans="1:4">
      <c r="A8" s="23" t="s">
        <v>84</v>
      </c>
      <c r="B8" s="28" t="s">
        <v>85</v>
      </c>
      <c r="C8" s="29">
        <v>29500000</v>
      </c>
      <c r="D8" s="23" t="s">
        <v>17</v>
      </c>
    </row>
    <row r="9" spans="1:4">
      <c r="A9" s="23" t="s">
        <v>49</v>
      </c>
      <c r="B9" s="28" t="s">
        <v>50</v>
      </c>
      <c r="C9" s="24">
        <v>968</v>
      </c>
      <c r="D9" s="23" t="s">
        <v>51</v>
      </c>
    </row>
    <row r="10" spans="1:4">
      <c r="A10" s="23" t="s">
        <v>46</v>
      </c>
      <c r="B10" s="28" t="s">
        <v>47</v>
      </c>
      <c r="C10" s="30">
        <v>90</v>
      </c>
      <c r="D10" s="23" t="s">
        <v>48</v>
      </c>
    </row>
    <row r="11" spans="1:4">
      <c r="A11" s="23" t="s">
        <v>2</v>
      </c>
      <c r="B11" s="28"/>
      <c r="C11" s="31">
        <v>1</v>
      </c>
      <c r="D11" s="32" t="str">
        <f>LOOKUP(C11,'Data Charts'!$A$5:$A$155,'Data Charts'!$B$5:$B$155)</f>
        <v>ANFO (94/6)</v>
      </c>
    </row>
    <row r="12" spans="1:4">
      <c r="A12" s="23" t="s">
        <v>67</v>
      </c>
      <c r="B12" s="28" t="s">
        <v>52</v>
      </c>
      <c r="C12" s="33">
        <f>LOOKUP(C11,'Data Charts'!A5:A37,'Data Charts'!D5:D37)</f>
        <v>1</v>
      </c>
    </row>
    <row r="13" spans="1:4">
      <c r="A13" s="23" t="s">
        <v>71</v>
      </c>
      <c r="B13" s="28" t="s">
        <v>92</v>
      </c>
      <c r="C13" s="24">
        <v>560</v>
      </c>
      <c r="D13" s="23" t="s">
        <v>1</v>
      </c>
    </row>
    <row r="14" spans="1:4">
      <c r="A14" s="23" t="s">
        <v>53</v>
      </c>
      <c r="B14" s="35" t="s">
        <v>58</v>
      </c>
      <c r="C14" s="24">
        <v>9</v>
      </c>
    </row>
    <row r="15" spans="1:4">
      <c r="A15" s="23" t="s">
        <v>91</v>
      </c>
      <c r="B15" s="35" t="s">
        <v>0</v>
      </c>
      <c r="C15" s="46">
        <f>C13*C14</f>
        <v>5040</v>
      </c>
      <c r="D15" s="23" t="s">
        <v>1</v>
      </c>
    </row>
    <row r="16" spans="1:4">
      <c r="A16" s="23" t="s">
        <v>54</v>
      </c>
      <c r="B16" s="28" t="s">
        <v>60</v>
      </c>
      <c r="C16" s="24">
        <v>28</v>
      </c>
      <c r="D16" s="23" t="s">
        <v>14</v>
      </c>
    </row>
    <row r="17" spans="1:5">
      <c r="A17" s="23" t="s">
        <v>98</v>
      </c>
      <c r="B17" s="28" t="s">
        <v>20</v>
      </c>
      <c r="C17" s="24">
        <v>10</v>
      </c>
      <c r="D17" s="23" t="s">
        <v>62</v>
      </c>
    </row>
    <row r="18" spans="1:5">
      <c r="A18" s="23" t="s">
        <v>93</v>
      </c>
      <c r="B18" s="28" t="s">
        <v>94</v>
      </c>
      <c r="C18" s="23">
        <f>C16*C14</f>
        <v>252</v>
      </c>
      <c r="D18" s="23" t="s">
        <v>14</v>
      </c>
    </row>
    <row r="19" spans="1:5">
      <c r="A19" s="23" t="s">
        <v>100</v>
      </c>
      <c r="B19" s="28" t="s">
        <v>15</v>
      </c>
      <c r="C19" s="24">
        <v>253</v>
      </c>
      <c r="D19" s="23" t="s">
        <v>14</v>
      </c>
    </row>
    <row r="20" spans="1:5">
      <c r="A20" s="34" t="s">
        <v>101</v>
      </c>
      <c r="B20" s="28" t="s">
        <v>74</v>
      </c>
      <c r="C20" s="52">
        <f>IF(C17&lt;45,C19+((C14-1)*C16*SIN(C17*PI()/180))/2,IF(C17&gt;90,C19+((C14-1)*C16*SIN((C17-90)*PI()/180))/2,C19+((C14-1)*C16*SIN((90-C17)*PI()/180))/2))</f>
        <v>272.44859589869623</v>
      </c>
      <c r="D20" s="23" t="s">
        <v>14</v>
      </c>
    </row>
    <row r="21" spans="1:5">
      <c r="A21" s="34" t="s">
        <v>56</v>
      </c>
      <c r="B21" s="28" t="s">
        <v>13</v>
      </c>
      <c r="C21" s="53">
        <f>IF(C17&lt;45,C20/COS(C17*PI()/180),IF(C20/COS((C17-90)*PI()/180),C20/COS((90-C17)*PI()/180)))</f>
        <v>276.65155464644158</v>
      </c>
      <c r="D21" s="23" t="s">
        <v>14</v>
      </c>
    </row>
    <row r="22" spans="1:5">
      <c r="A22" s="34" t="s">
        <v>107</v>
      </c>
      <c r="B22" s="28"/>
      <c r="C22" s="47" t="str">
        <f>IF(C16&gt;C21,"YES","NO")</f>
        <v>NO</v>
      </c>
    </row>
    <row r="23" spans="1:5">
      <c r="A23" s="34" t="s">
        <v>159</v>
      </c>
      <c r="B23" s="48"/>
      <c r="C23" s="49" t="str">
        <f>IF((C21/C18)&lt;=1,"YES","NO")</f>
        <v>NO</v>
      </c>
      <c r="D23" s="28" t="s">
        <v>157</v>
      </c>
      <c r="E23" s="50">
        <f>C21/C18</f>
        <v>1.0978236295493713</v>
      </c>
    </row>
    <row r="24" spans="1:5">
      <c r="A24" s="28"/>
      <c r="B24" s="28"/>
      <c r="C24" s="49" t="str">
        <f>IF(C16&gt;C21,"Then Treat Each Charge as an Single Point Charge @ R",IF((C21/C18)&lt;=1,"Then It is Treated as a Parallel Line Charge @ R","Then It is Treated as an Entire Single Point Charge @ Rgcl"))</f>
        <v>Then It is Treated as an Entire Single Point Charge @ Rgcl</v>
      </c>
    </row>
    <row r="25" spans="1:5">
      <c r="A25" s="23" t="s">
        <v>77</v>
      </c>
      <c r="B25" s="35" t="s">
        <v>78</v>
      </c>
      <c r="C25" s="36">
        <f>C9*C5/(2*C6)</f>
        <v>24684</v>
      </c>
      <c r="D25" s="23" t="s">
        <v>17</v>
      </c>
    </row>
    <row r="26" spans="1:5">
      <c r="A26" s="23" t="s">
        <v>105</v>
      </c>
      <c r="B26" s="35" t="s">
        <v>76</v>
      </c>
      <c r="C26" s="36">
        <f>IF(C16&gt;C21,4.44*C8*(C12*C13/(SQRT(C8*C6)*C21^2.5))^0.77,IF((C21/C18)&lt;=1,4.44*C8*(1.4*C12*(C15/C18)/(SQRT(C8*C6)*C21^1.5))^0.77,4.44*C8*(C12*C15/(SQRT(C8*C6)*C20^2.5))^0.77))</f>
        <v>4325.7888275014984</v>
      </c>
      <c r="D26" s="23" t="s">
        <v>17</v>
      </c>
    </row>
    <row r="27" spans="1:5">
      <c r="A27" s="23" t="s">
        <v>109</v>
      </c>
      <c r="B27" s="35" t="s">
        <v>110</v>
      </c>
      <c r="C27" s="36">
        <f>C25+C26</f>
        <v>29009.788827501499</v>
      </c>
      <c r="D27" s="23" t="s">
        <v>17</v>
      </c>
    </row>
    <row r="28" spans="1:5">
      <c r="A28" s="23" t="s">
        <v>102</v>
      </c>
      <c r="B28" s="35" t="s">
        <v>79</v>
      </c>
      <c r="C28" s="36">
        <f>(C27^2-C27*C26+C26^2)^0.5</f>
        <v>27107.011572620537</v>
      </c>
      <c r="D28" s="23" t="s">
        <v>17</v>
      </c>
    </row>
    <row r="29" spans="1:5">
      <c r="A29" s="23" t="s">
        <v>103</v>
      </c>
      <c r="B29" s="35" t="s">
        <v>80</v>
      </c>
      <c r="C29" s="37">
        <f>C28*100/C7</f>
        <v>52.128868408885651</v>
      </c>
      <c r="D29" s="23" t="s">
        <v>48</v>
      </c>
    </row>
    <row r="31" spans="1:5" ht="18">
      <c r="A31" s="28" t="s">
        <v>83</v>
      </c>
      <c r="C31" s="38" t="str">
        <f>IF(C29&lt;C10,"Safe to Blast","Not Safe to Blast")</f>
        <v>Safe to Blast</v>
      </c>
    </row>
    <row r="33" spans="1:6" ht="23.25">
      <c r="A33" s="27" t="s">
        <v>82</v>
      </c>
    </row>
    <row r="35" spans="1:6">
      <c r="A35" s="23" t="s">
        <v>73</v>
      </c>
      <c r="B35" s="28" t="s">
        <v>113</v>
      </c>
      <c r="C35" s="39">
        <f>LOOKUP(C11,'Data Charts'!$A$5:$A$155,'Data Charts'!$C$5:$C$155)</f>
        <v>1520000</v>
      </c>
      <c r="D35" s="23" t="s">
        <v>3</v>
      </c>
    </row>
    <row r="36" spans="1:6">
      <c r="A36" s="23" t="s">
        <v>72</v>
      </c>
      <c r="B36" s="28" t="s">
        <v>66</v>
      </c>
      <c r="C36" s="41">
        <f>C13*C35</f>
        <v>851200000</v>
      </c>
      <c r="D36" s="23" t="s">
        <v>5</v>
      </c>
    </row>
    <row r="37" spans="1:6">
      <c r="A37" s="23" t="s">
        <v>114</v>
      </c>
      <c r="B37" s="28" t="s">
        <v>4</v>
      </c>
      <c r="C37" s="41">
        <f>C15*C35</f>
        <v>7660800000</v>
      </c>
      <c r="D37" s="23" t="s">
        <v>5</v>
      </c>
    </row>
    <row r="38" spans="1:6">
      <c r="A38" s="23" t="s">
        <v>6</v>
      </c>
      <c r="B38" s="28" t="s">
        <v>7</v>
      </c>
      <c r="C38" s="24">
        <v>120</v>
      </c>
      <c r="D38" s="23" t="s">
        <v>8</v>
      </c>
    </row>
    <row r="39" spans="1:6">
      <c r="A39" s="28" t="s">
        <v>9</v>
      </c>
      <c r="B39" s="28" t="s">
        <v>7</v>
      </c>
      <c r="C39" s="36">
        <f>C38/32.174</f>
        <v>3.7297196494063529</v>
      </c>
      <c r="D39" s="23" t="s">
        <v>12</v>
      </c>
    </row>
    <row r="40" spans="1:6">
      <c r="A40" s="23" t="s">
        <v>68</v>
      </c>
      <c r="B40" s="28" t="s">
        <v>10</v>
      </c>
      <c r="C40" s="24">
        <v>2000</v>
      </c>
      <c r="D40" s="23" t="s">
        <v>11</v>
      </c>
    </row>
    <row r="41" spans="1:6">
      <c r="A41" s="23" t="s">
        <v>123</v>
      </c>
      <c r="B41" s="28" t="s">
        <v>122</v>
      </c>
      <c r="C41" s="24">
        <v>300</v>
      </c>
      <c r="D41" s="23" t="s">
        <v>14</v>
      </c>
    </row>
    <row r="42" spans="1:6">
      <c r="A42" s="23" t="s">
        <v>63</v>
      </c>
      <c r="B42" s="28" t="s">
        <v>16</v>
      </c>
      <c r="C42" s="42">
        <f>14.54*((55096-(C41-361))/(55096+(C41-361)))</f>
        <v>14.572231852457527</v>
      </c>
      <c r="D42" s="23" t="s">
        <v>124</v>
      </c>
    </row>
    <row r="43" spans="1:6">
      <c r="A43" s="28" t="s">
        <v>9</v>
      </c>
      <c r="B43" s="28" t="s">
        <v>16</v>
      </c>
      <c r="C43" s="36">
        <f>C42*144</f>
        <v>2098.4013867538838</v>
      </c>
      <c r="D43" s="23" t="s">
        <v>18</v>
      </c>
    </row>
    <row r="44" spans="1:6">
      <c r="A44" s="23" t="s">
        <v>69</v>
      </c>
      <c r="B44" s="28" t="s">
        <v>64</v>
      </c>
      <c r="C44" s="23">
        <f>(C43/(C39*C40^2))^0.5</f>
        <v>1.1859767969327669E-2</v>
      </c>
    </row>
    <row r="45" spans="1:6">
      <c r="A45" s="23" t="s">
        <v>19</v>
      </c>
      <c r="B45" s="28" t="s">
        <v>65</v>
      </c>
      <c r="C45" s="23">
        <f>IF(C16&gt;C21,C36/(C39*C40^2*C21^3),IF((C21/C18)&lt;=1,C37/(C39*C40^2*C21^3),C37/(C39*C40^2*C20^3)))</f>
        <v>2.5391258233205498E-5</v>
      </c>
      <c r="E45" s="44"/>
    </row>
    <row r="46" spans="1:6">
      <c r="A46" s="23" t="s">
        <v>21</v>
      </c>
      <c r="B46" s="28" t="s">
        <v>22</v>
      </c>
      <c r="C46" s="23">
        <f>(C21*0.0414*C45^1.11)/(C44*(TANH(18.2*C45^0.237))^1.5)</f>
        <v>8.9392216590603226E-3</v>
      </c>
      <c r="D46" s="23" t="s">
        <v>14</v>
      </c>
      <c r="E46" s="44"/>
      <c r="F46" s="41"/>
    </row>
    <row r="47" spans="1:6">
      <c r="A47" s="28" t="s">
        <v>9</v>
      </c>
      <c r="B47" s="28" t="s">
        <v>22</v>
      </c>
      <c r="C47" s="26">
        <f>C46*12</f>
        <v>0.10727065990872386</v>
      </c>
      <c r="D47" s="23" t="s">
        <v>23</v>
      </c>
      <c r="E47" s="44"/>
    </row>
    <row r="48" spans="1:6">
      <c r="A48" s="28" t="s">
        <v>9</v>
      </c>
      <c r="B48" s="28" t="s">
        <v>22</v>
      </c>
      <c r="C48" s="26">
        <f>C47*25.4</f>
        <v>2.7246747616815861</v>
      </c>
      <c r="D48" s="23" t="s">
        <v>70</v>
      </c>
      <c r="E48" s="44"/>
    </row>
    <row r="49" spans="1:5">
      <c r="A49" s="34" t="s">
        <v>86</v>
      </c>
      <c r="B49" s="28" t="s">
        <v>89</v>
      </c>
      <c r="C49" s="43">
        <f>IF(C16&gt;C21,4.78*(C12*C13/(SQRT(C8*C6)*C21^2.5))^0.805,IF((C21/C18)&lt;=1,4.78*(1.3*C12*(C15/C18)/(SQRT(C8*C6)*C21^1.5))^0.805,4.78*(C12*C15/(SQRT(C8*C6)*C20^2.5))^0.805))</f>
        <v>9.8764315525512854E-5</v>
      </c>
      <c r="D49" s="23" t="s">
        <v>87</v>
      </c>
      <c r="E49" s="44"/>
    </row>
    <row r="50" spans="1:5">
      <c r="A50" s="34" t="s">
        <v>88</v>
      </c>
      <c r="B50" s="28" t="s">
        <v>90</v>
      </c>
      <c r="C50" s="43">
        <f>IF(C16&gt;C21,1.98*(C12*C13/(SQRT(C8*C6)*C21^2.5))^0.735,IF((C21/C18)&lt;=1,1.98*(1.3*C12*(C15/C18)/(SQRT(C8*C6)*C21^1.5))^0.735,1.98*(C12*C15/(SQRT(C8*C6)*C20^2.5))^0.735))</f>
        <v>1.045234378813488E-4</v>
      </c>
      <c r="D50" s="23" t="s">
        <v>87</v>
      </c>
      <c r="E50" s="44"/>
    </row>
    <row r="51" spans="1:5">
      <c r="A51" s="23" t="s">
        <v>117</v>
      </c>
      <c r="B51" s="28" t="s">
        <v>24</v>
      </c>
      <c r="C51" s="23">
        <f>(C40*0.00617*C45^0.852)/(C44*TANH(26*C45^0.3))</f>
        <v>0.15891391792449397</v>
      </c>
      <c r="D51" s="23" t="s">
        <v>11</v>
      </c>
      <c r="E51" s="44"/>
    </row>
    <row r="52" spans="1:5">
      <c r="A52" s="28" t="s">
        <v>9</v>
      </c>
      <c r="B52" s="28" t="s">
        <v>24</v>
      </c>
      <c r="C52" s="43">
        <f>C51*12</f>
        <v>1.9069670150939277</v>
      </c>
      <c r="D52" s="23" t="s">
        <v>25</v>
      </c>
      <c r="E52" s="44"/>
    </row>
    <row r="53" spans="1:5">
      <c r="A53" s="45" t="s">
        <v>301</v>
      </c>
      <c r="E53" s="44"/>
    </row>
    <row r="54" spans="1:5" ht="18">
      <c r="A54" s="28" t="s">
        <v>83</v>
      </c>
      <c r="C54" s="38" t="str">
        <f>IF(C52&lt;4,"Safe to Blast","Not Safe to Blast")</f>
        <v>Safe to Blast</v>
      </c>
    </row>
  </sheetData>
  <sheetProtection password="CB75" sheet="1" objects="1" scenarios="1"/>
  <phoneticPr fontId="0" type="noConversion"/>
  <pageMargins left="0.2" right="0.2" top="0.2" bottom="0.2"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dimension ref="A1:E58"/>
  <sheetViews>
    <sheetView workbookViewId="0">
      <selection activeCell="C5" sqref="C5"/>
    </sheetView>
  </sheetViews>
  <sheetFormatPr defaultRowHeight="12.75"/>
  <cols>
    <col min="1" max="1" width="57.7109375" style="23" customWidth="1"/>
    <col min="2" max="2" width="9.140625" style="23"/>
    <col min="3" max="3" width="13.42578125" style="23" customWidth="1"/>
    <col min="4" max="5" width="9.140625" style="23"/>
    <col min="6" max="7" width="12.42578125" style="23" bestFit="1" customWidth="1"/>
    <col min="8" max="16384" width="9.140625" style="23"/>
  </cols>
  <sheetData>
    <row r="1" spans="1:4" ht="18">
      <c r="A1" s="22" t="s">
        <v>154</v>
      </c>
    </row>
    <row r="2" spans="1:4">
      <c r="C2" s="24"/>
      <c r="D2" s="23" t="s">
        <v>120</v>
      </c>
    </row>
    <row r="3" spans="1:4" ht="12.75" customHeight="1">
      <c r="A3" s="25"/>
      <c r="C3" s="26"/>
      <c r="D3" s="23" t="s">
        <v>121</v>
      </c>
    </row>
    <row r="4" spans="1:4" ht="23.25">
      <c r="A4" s="27" t="s">
        <v>81</v>
      </c>
    </row>
    <row r="5" spans="1:4">
      <c r="A5" s="23" t="s">
        <v>40</v>
      </c>
      <c r="B5" s="28" t="s">
        <v>41</v>
      </c>
      <c r="C5" s="24">
        <v>12.75</v>
      </c>
      <c r="D5" s="23" t="s">
        <v>23</v>
      </c>
    </row>
    <row r="6" spans="1:4">
      <c r="A6" s="23" t="s">
        <v>42</v>
      </c>
      <c r="B6" s="28" t="s">
        <v>43</v>
      </c>
      <c r="C6" s="24">
        <v>0.25</v>
      </c>
      <c r="D6" s="23" t="s">
        <v>23</v>
      </c>
    </row>
    <row r="7" spans="1:4">
      <c r="A7" s="23" t="s">
        <v>44</v>
      </c>
      <c r="B7" s="28" t="s">
        <v>45</v>
      </c>
      <c r="C7" s="24">
        <v>52000</v>
      </c>
      <c r="D7" s="23" t="s">
        <v>17</v>
      </c>
    </row>
    <row r="8" spans="1:4">
      <c r="A8" s="23" t="s">
        <v>84</v>
      </c>
      <c r="B8" s="28" t="s">
        <v>85</v>
      </c>
      <c r="C8" s="29">
        <v>29500000</v>
      </c>
      <c r="D8" s="23" t="s">
        <v>17</v>
      </c>
    </row>
    <row r="9" spans="1:4">
      <c r="A9" s="23" t="s">
        <v>49</v>
      </c>
      <c r="B9" s="28" t="s">
        <v>50</v>
      </c>
      <c r="C9" s="24">
        <v>968</v>
      </c>
      <c r="D9" s="23" t="s">
        <v>51</v>
      </c>
    </row>
    <row r="10" spans="1:4">
      <c r="A10" s="23" t="s">
        <v>46</v>
      </c>
      <c r="B10" s="28" t="s">
        <v>47</v>
      </c>
      <c r="C10" s="30">
        <v>90</v>
      </c>
      <c r="D10" s="23" t="s">
        <v>48</v>
      </c>
    </row>
    <row r="11" spans="1:4">
      <c r="A11" s="23" t="s">
        <v>2</v>
      </c>
      <c r="B11" s="28"/>
      <c r="C11" s="31">
        <v>1</v>
      </c>
      <c r="D11" s="32" t="str">
        <f>LOOKUP(C11,'Data Charts'!$A$5:$A$155,'Data Charts'!$B$5:$B$155)</f>
        <v>ANFO (94/6)</v>
      </c>
    </row>
    <row r="12" spans="1:4">
      <c r="A12" s="23" t="s">
        <v>67</v>
      </c>
      <c r="B12" s="28" t="s">
        <v>52</v>
      </c>
      <c r="C12" s="33">
        <f>LOOKUP(C11,'Data Charts'!A5:A37,'Data Charts'!D5:D37)</f>
        <v>1</v>
      </c>
    </row>
    <row r="13" spans="1:4">
      <c r="A13" s="23" t="s">
        <v>99</v>
      </c>
      <c r="B13" s="28" t="s">
        <v>92</v>
      </c>
      <c r="C13" s="24">
        <v>560</v>
      </c>
      <c r="D13" s="23" t="s">
        <v>1</v>
      </c>
    </row>
    <row r="14" spans="1:4">
      <c r="A14" s="23" t="s">
        <v>53</v>
      </c>
      <c r="B14" s="35" t="s">
        <v>58</v>
      </c>
      <c r="C14" s="24">
        <v>9</v>
      </c>
    </row>
    <row r="15" spans="1:4">
      <c r="A15" s="23" t="s">
        <v>95</v>
      </c>
      <c r="B15" s="35" t="s">
        <v>59</v>
      </c>
      <c r="C15" s="24">
        <v>5</v>
      </c>
    </row>
    <row r="16" spans="1:4">
      <c r="A16" s="23" t="s">
        <v>118</v>
      </c>
      <c r="B16" s="35" t="s">
        <v>0</v>
      </c>
      <c r="C16" s="23">
        <f>C14*C13*C15</f>
        <v>25200</v>
      </c>
      <c r="D16" s="23" t="s">
        <v>1</v>
      </c>
    </row>
    <row r="17" spans="1:5">
      <c r="A17" s="23" t="s">
        <v>156</v>
      </c>
      <c r="B17" s="35" t="s">
        <v>92</v>
      </c>
      <c r="C17" s="23">
        <f>C13*C14</f>
        <v>5040</v>
      </c>
      <c r="D17" s="23" t="s">
        <v>1</v>
      </c>
    </row>
    <row r="18" spans="1:5">
      <c r="A18" s="23" t="s">
        <v>96</v>
      </c>
      <c r="B18" s="28" t="s">
        <v>60</v>
      </c>
      <c r="C18" s="24">
        <v>28</v>
      </c>
      <c r="D18" s="23" t="s">
        <v>14</v>
      </c>
    </row>
    <row r="19" spans="1:5">
      <c r="A19" s="23" t="s">
        <v>55</v>
      </c>
      <c r="B19" s="28" t="s">
        <v>61</v>
      </c>
      <c r="C19" s="24">
        <v>32</v>
      </c>
      <c r="D19" s="23" t="s">
        <v>14</v>
      </c>
    </row>
    <row r="20" spans="1:5">
      <c r="A20" s="23" t="s">
        <v>93</v>
      </c>
      <c r="B20" s="28" t="s">
        <v>94</v>
      </c>
      <c r="C20" s="23">
        <f>C14*C18</f>
        <v>252</v>
      </c>
      <c r="D20" s="23" t="s">
        <v>14</v>
      </c>
    </row>
    <row r="21" spans="1:5">
      <c r="A21" s="23" t="s">
        <v>98</v>
      </c>
      <c r="B21" s="28" t="s">
        <v>20</v>
      </c>
      <c r="C21" s="24">
        <v>20</v>
      </c>
      <c r="D21" s="23" t="s">
        <v>62</v>
      </c>
    </row>
    <row r="22" spans="1:5">
      <c r="A22" s="23" t="s">
        <v>104</v>
      </c>
      <c r="B22" s="28" t="s">
        <v>15</v>
      </c>
      <c r="C22" s="24">
        <v>378</v>
      </c>
      <c r="D22" s="23" t="s">
        <v>14</v>
      </c>
    </row>
    <row r="23" spans="1:5">
      <c r="A23" s="34" t="s">
        <v>101</v>
      </c>
      <c r="B23" s="28" t="s">
        <v>74</v>
      </c>
      <c r="C23" s="36">
        <f>C22+((C14-1)*C18*SIN(C21*PI()/180 ))/2</f>
        <v>416.30625605247491</v>
      </c>
      <c r="D23" s="23" t="s">
        <v>14</v>
      </c>
    </row>
    <row r="24" spans="1:5">
      <c r="A24" s="23" t="s">
        <v>116</v>
      </c>
      <c r="B24" s="28" t="s">
        <v>13</v>
      </c>
      <c r="C24" s="36">
        <f>IF(C21&lt;45,C23/COS(C21*PI()/180),IF(C21&gt;90,C23/COS((C21-90)*PI()/180),C23/COS((90-C21)*PI()/180)))</f>
        <v>443.02386423370945</v>
      </c>
      <c r="D24" s="23" t="s">
        <v>14</v>
      </c>
    </row>
    <row r="25" spans="1:5">
      <c r="A25" s="34" t="s">
        <v>97</v>
      </c>
      <c r="B25" s="28" t="s">
        <v>75</v>
      </c>
      <c r="C25" s="36">
        <f>IF(C21&lt;45,(C22+((C14-1)*C18*SIN(C21*PI()/180)+(C15-1)*C19*COS(C21*PI()/180))/2),IF(C21&gt;90,(C22+((C14-1)*C18*SIN((C21-90)*PI()/180)+(C15-1)*C19*COS((C21-90)*PI()/180))/2),(C22+((C14-1)*C18*SIN((90-C21)*PI()/180)+(C15-1)*C19*COS((90-C21)*PI()/180))/2)))</f>
        <v>476.44658378277302</v>
      </c>
      <c r="D25" s="23" t="s">
        <v>14</v>
      </c>
    </row>
    <row r="26" spans="1:5">
      <c r="A26" s="34" t="s">
        <v>149</v>
      </c>
      <c r="B26" s="28"/>
      <c r="C26" s="47" t="str">
        <f>IF(C18&gt;C24,"YES","NO")</f>
        <v>NO</v>
      </c>
    </row>
    <row r="27" spans="1:5">
      <c r="A27" s="34" t="s">
        <v>106</v>
      </c>
      <c r="B27" s="48"/>
      <c r="C27" s="49" t="str">
        <f>IF((C24/C20)&lt;1,"YES","NO")</f>
        <v>NO</v>
      </c>
      <c r="D27" s="28" t="s">
        <v>157</v>
      </c>
      <c r="E27" s="50">
        <f>C25/C20</f>
        <v>1.8906610467570357</v>
      </c>
    </row>
    <row r="28" spans="1:5">
      <c r="A28" s="34" t="s">
        <v>164</v>
      </c>
      <c r="B28" s="28"/>
      <c r="C28" s="49" t="str">
        <f>IF(C22&lt;=1.5*C20,"YES","NO")</f>
        <v>YES</v>
      </c>
      <c r="D28" s="28" t="s">
        <v>158</v>
      </c>
      <c r="E28" s="34">
        <f>1.5*C20</f>
        <v>378</v>
      </c>
    </row>
    <row r="29" spans="1:5">
      <c r="A29" s="34"/>
      <c r="B29" s="28"/>
      <c r="C29" s="49" t="str">
        <f>IF(C18&gt;C24,"Then Treat Each Charge as an Single Point Charge @ R",IF(C22&lt;=1.5*C20,"Then It is Treated as a Parallel Line Charge @ R",IF((C22&gt;=1.5*C20),"Then it is Treated as an Entire Single Point Charge @ Rgcg","Then it is Treated as an Entire Single Point Charge @ R")))</f>
        <v>Then It is Treated as a Parallel Line Charge @ R</v>
      </c>
    </row>
    <row r="30" spans="1:5">
      <c r="A30" s="28"/>
      <c r="B30" s="28"/>
      <c r="C30" s="49" t="str">
        <f>IF(C18&gt;C24,"-",IF(C22&lt;=1.5*C20,"Total Charge Weight is Considered as One Row",IF((C22&gt;=1.5*C20),"Total Charge Weight is Weight of Entire Explosive Grid","-")))</f>
        <v>Total Charge Weight is Considered as One Row</v>
      </c>
    </row>
    <row r="31" spans="1:5">
      <c r="A31" s="23" t="s">
        <v>77</v>
      </c>
      <c r="B31" s="35" t="s">
        <v>78</v>
      </c>
      <c r="C31" s="36">
        <f>C9*C5/(2*C6)</f>
        <v>24684</v>
      </c>
      <c r="D31" s="23" t="s">
        <v>17</v>
      </c>
    </row>
    <row r="32" spans="1:5">
      <c r="A32" s="23" t="str">
        <f>IF(C18&gt;C25,"Circumferential / Longitudinal Stress Caused by Blasting @ A or more",IF(C24&lt;=1.5*C20,"Circumferential / Longitudinal Stress Caused by Blasting @ A","Circumferential / Longitudinal Stress Caused by Blasting @ Rgcg"))</f>
        <v>Circumferential / Longitudinal Stress Caused by Blasting @ Rgcg</v>
      </c>
      <c r="B32" s="35" t="s">
        <v>76</v>
      </c>
      <c r="C32" s="36">
        <f>IF(C18&gt;C24,4.44*C8*(C12*C13/(SQRT(C8*C6)*C24^2.5))^0.77,IF(C22&lt;=1.5*C20,4.44*C8*(1.4*C12*(C13/C18)/(SQRT(C8*C6)*C24^1.5))^0.77,IF((C22&gt;=1.5*C20),4.44*C8*(C12*C16/(SQRT(C8*C6)*C25^2.5))^0.77,4.44*C8*(C12*C16/(SQRT(C8*C6)*C24^2.5))^0.77)))</f>
        <v>3394.7278721420298</v>
      </c>
      <c r="D32" s="23" t="s">
        <v>17</v>
      </c>
    </row>
    <row r="33" spans="1:4">
      <c r="A33" s="23" t="str">
        <f>IF(C18&gt;C25,"Total Combined Hoop Stress and Circumferential Stress @ A or more",IF(C24&lt;=1.5*C20,"Total Combined Hoop Stress and Circumferential Stress @ A","Total Combined Hoop Stress and Circumferential Stress @ Rgcg"))</f>
        <v>Total Combined Hoop Stress and Circumferential Stress @ Rgcg</v>
      </c>
      <c r="B33" s="35" t="s">
        <v>110</v>
      </c>
      <c r="C33" s="36">
        <f>C31+C32</f>
        <v>28078.72787214203</v>
      </c>
      <c r="D33" s="23" t="s">
        <v>17</v>
      </c>
    </row>
    <row r="34" spans="1:4">
      <c r="A34" s="23" t="str">
        <f>IF(C18&gt;C25,"Total Combined Stress - Von Mises Criteria @ A or more",IF(C24&lt;=1.5*C20,"Total Combined Stress - Von Mises Criteria @ A","Total Combined Stress - Von Mises Criteria @ Rgcg"))</f>
        <v>Total Combined Stress - Von Mises Criteria @ Rgcg</v>
      </c>
      <c r="B34" s="35" t="s">
        <v>79</v>
      </c>
      <c r="C34" s="36">
        <f>(C33^2-C33*C32+C32^2)^0.5</f>
        <v>26544.669825067551</v>
      </c>
      <c r="D34" s="23" t="s">
        <v>17</v>
      </c>
    </row>
    <row r="35" spans="1:4">
      <c r="A35" s="23" t="str">
        <f>IF(C18&gt;C25,"Calculated Combined Stress Design Factor @ A or more",IF(C24&lt;=1.5*C20,"Calculated Combined Stress Design Factor @ A","Calculated Combined Stress Design Factor @ Rgcg"))</f>
        <v>Calculated Combined Stress Design Factor @ Rgcg</v>
      </c>
      <c r="B35" s="35" t="s">
        <v>80</v>
      </c>
      <c r="C35" s="37">
        <f>C34*100/C7</f>
        <v>51.047441971283753</v>
      </c>
      <c r="D35" s="23" t="s">
        <v>48</v>
      </c>
    </row>
    <row r="36" spans="1:4" ht="18">
      <c r="A36" s="28" t="s">
        <v>83</v>
      </c>
      <c r="C36" s="38" t="str">
        <f>IF(C35&lt;C10,"Safe to Blast","Not Safe to Blast")</f>
        <v>Safe to Blast</v>
      </c>
    </row>
    <row r="38" spans="1:4" ht="23.25">
      <c r="A38" s="27" t="s">
        <v>82</v>
      </c>
    </row>
    <row r="39" spans="1:4">
      <c r="A39" s="23" t="s">
        <v>73</v>
      </c>
      <c r="B39" s="28" t="s">
        <v>113</v>
      </c>
      <c r="C39" s="39">
        <f>LOOKUP(C11,'Data Charts'!$A$5:$A$155,'Data Charts'!$C$5:$C$155)</f>
        <v>1520000</v>
      </c>
      <c r="D39" s="23" t="s">
        <v>3</v>
      </c>
    </row>
    <row r="40" spans="1:4">
      <c r="A40" s="23" t="s">
        <v>72</v>
      </c>
      <c r="B40" s="28" t="s">
        <v>66</v>
      </c>
      <c r="C40" s="41">
        <f>C13*C39</f>
        <v>851200000</v>
      </c>
      <c r="D40" s="23" t="s">
        <v>5</v>
      </c>
    </row>
    <row r="41" spans="1:4">
      <c r="A41" s="23" t="s">
        <v>115</v>
      </c>
      <c r="B41" s="28" t="s">
        <v>4</v>
      </c>
      <c r="C41" s="41">
        <f>C16*C39</f>
        <v>38304000000</v>
      </c>
      <c r="D41" s="23" t="s">
        <v>5</v>
      </c>
    </row>
    <row r="42" spans="1:4">
      <c r="A42" s="23" t="s">
        <v>6</v>
      </c>
      <c r="B42" s="28" t="s">
        <v>7</v>
      </c>
      <c r="C42" s="24">
        <v>120</v>
      </c>
      <c r="D42" s="23" t="s">
        <v>8</v>
      </c>
    </row>
    <row r="43" spans="1:4">
      <c r="A43" s="28" t="s">
        <v>9</v>
      </c>
      <c r="B43" s="28" t="s">
        <v>7</v>
      </c>
      <c r="C43" s="23">
        <f>C42/32.174</f>
        <v>3.7297196494063529</v>
      </c>
      <c r="D43" s="23" t="s">
        <v>12</v>
      </c>
    </row>
    <row r="44" spans="1:4">
      <c r="A44" s="23" t="s">
        <v>68</v>
      </c>
      <c r="B44" s="28" t="s">
        <v>10</v>
      </c>
      <c r="C44" s="24">
        <v>2000</v>
      </c>
      <c r="D44" s="23" t="s">
        <v>11</v>
      </c>
    </row>
    <row r="45" spans="1:4">
      <c r="A45" s="23" t="s">
        <v>123</v>
      </c>
      <c r="B45" s="28" t="s">
        <v>122</v>
      </c>
      <c r="C45" s="24">
        <v>300</v>
      </c>
      <c r="D45" s="23" t="s">
        <v>14</v>
      </c>
    </row>
    <row r="46" spans="1:4">
      <c r="A46" s="23" t="s">
        <v>63</v>
      </c>
      <c r="B46" s="28" t="s">
        <v>16</v>
      </c>
      <c r="C46" s="42">
        <f>14.54*((55096-(C45-361))/(55096+(C45-361)))</f>
        <v>14.572231852457527</v>
      </c>
      <c r="D46" s="23" t="s">
        <v>124</v>
      </c>
    </row>
    <row r="47" spans="1:4">
      <c r="A47" s="28" t="s">
        <v>9</v>
      </c>
      <c r="B47" s="28" t="s">
        <v>16</v>
      </c>
      <c r="C47" s="23">
        <f>C46*144</f>
        <v>2098.4013867538838</v>
      </c>
      <c r="D47" s="23" t="s">
        <v>18</v>
      </c>
    </row>
    <row r="48" spans="1:4">
      <c r="A48" s="23" t="s">
        <v>69</v>
      </c>
      <c r="B48" s="28" t="s">
        <v>64</v>
      </c>
      <c r="C48" s="23">
        <f>(C47/(C43*C44^2))^0.5</f>
        <v>1.1859767969327669E-2</v>
      </c>
    </row>
    <row r="49" spans="1:5">
      <c r="A49" s="23" t="str">
        <f>IF(C18&gt;C25,"Scaled Energy Release Ratio @ A or more",IF(C24&lt;=1.5*C20,"Scaled Energy Release Ratio @ A","Scaled Energy Release Ratio @ R"))</f>
        <v>Scaled Energy Release Ratio @ R</v>
      </c>
      <c r="B49" s="28" t="s">
        <v>65</v>
      </c>
      <c r="C49" s="23">
        <f>IF(C18&gt;C24,C40/(C43*C44^2*C22^3),IF(C22&lt;=1.5*C20,(C41/C15)/(C43*C44^2*C24^3),IF((C22&gt;=1.5*C20),(C41/C15)/(C43*C44^2*C24^3),C41/(C43*C44^2*C24^3))))</f>
        <v>5.9054987497790129E-6</v>
      </c>
    </row>
    <row r="50" spans="1:5">
      <c r="A50" s="23" t="str">
        <f>IF(C18&gt;C25,"Peak Radial Ground Displacement @ A or more",IF(C24&lt;=1.5*C20,"Peak Radial Ground Displacement @ A","Peak Radial Ground Displacement @ R"))</f>
        <v>Peak Radial Ground Displacement @ R</v>
      </c>
      <c r="B50" s="28" t="s">
        <v>22</v>
      </c>
      <c r="C50" s="54">
        <f>IF(C18&gt;C24,(C22*0.0414*C49^1.11)/(C48*(TANH(18.2*C49^0.237))^1.5),IF(C21&lt;=1.5*C19,(C24*0.0414*C49^1.11)/(C48*(TANH(18.2*C49^0.237))^1.5),IF((C22&gt;=1.5*C20),(C25*0.0414*C49^1.11)/(C48*(TANH(18.2*C49^0.237))^1.5),(C24*0.0414*C49^1.11)/(C48*(TANH(18.2*C49^0.237))^1.5))))</f>
        <v>3.5160572286626803E-3</v>
      </c>
      <c r="D50" s="23" t="s">
        <v>14</v>
      </c>
      <c r="E50" s="44"/>
    </row>
    <row r="51" spans="1:5">
      <c r="A51" s="28" t="s">
        <v>9</v>
      </c>
      <c r="B51" s="28" t="s">
        <v>22</v>
      </c>
      <c r="C51" s="43">
        <f>C50*12</f>
        <v>4.2192686743952164E-2</v>
      </c>
      <c r="D51" s="23" t="s">
        <v>23</v>
      </c>
      <c r="E51" s="44"/>
    </row>
    <row r="52" spans="1:5">
      <c r="A52" s="28" t="s">
        <v>9</v>
      </c>
      <c r="B52" s="28" t="s">
        <v>22</v>
      </c>
      <c r="C52" s="43">
        <f>C51*25.4</f>
        <v>1.071694243296385</v>
      </c>
      <c r="D52" s="23" t="s">
        <v>70</v>
      </c>
      <c r="E52" s="44"/>
    </row>
    <row r="53" spans="1:5">
      <c r="A53" s="34" t="str">
        <f>IF(C18&gt;C25,"Maximum Circumferential Strain @ A or more",IF(C24&lt;=1.5*C20,"Maximum Circumferential Strain @ A","Maximum Circumferential Strain @ R"))</f>
        <v>Maximum Circumferential Strain @ R</v>
      </c>
      <c r="B53" s="28" t="s">
        <v>89</v>
      </c>
      <c r="C53" s="43">
        <f>IF(C18&gt;C24,4.78*(C12*C13/(SQRT(C8*C6)*C22^2.5))^0.805,IF(C22&lt;=1.5*C20,4.78*(1.3*C12*(C17/C20)/(SQRT(C8*C6)*C24^1.5))^0.805,IF((C22&gt;=1.5*C20),4.78*(C12*C16/(SQRT(C8*C6)*C24^2.5))^0.805,4.78*(C12*C16/(SQRT(C8*C6)*C24^2.5))^0.805)))</f>
        <v>7.2218169851182319E-5</v>
      </c>
      <c r="D53" s="23" t="s">
        <v>87</v>
      </c>
      <c r="E53" s="44"/>
    </row>
    <row r="54" spans="1:5">
      <c r="A54" s="34" t="str">
        <f>IF(C18&gt;C25,"Maximum Longitudinal Strain @ A or more",IF(C24&lt;=1.5*C20,"Maximum Longitudinal Strain @ A","Maximum Longitudinal Strain @ R"))</f>
        <v>Maximum Longitudinal Strain @ R</v>
      </c>
      <c r="B54" s="28" t="s">
        <v>90</v>
      </c>
      <c r="C54" s="43">
        <f>IF(C18&gt;C24,1.98*(C12*C13/(SQRT(C8*C6)*C22^2.5))^0.735,IF(C22&lt;=1.5*C19,1.98*(1.3*C12*(C17/C20)/(SQRT(C8*C6)*C24^1.5))^0.735,IF((C22&gt;=1.5*C19),1.98*(C12*C16/(SQRT(C8*C6)*C24^2.5))^0.735,1.98*(C12*C16/(SQRT(C8*C6)*C24^2.5))^0.735)))</f>
        <v>1.3963111598791061E-4</v>
      </c>
      <c r="D54" s="23" t="s">
        <v>87</v>
      </c>
      <c r="E54" s="44"/>
    </row>
    <row r="55" spans="1:5">
      <c r="A55" s="23" t="str">
        <f>IF(C18&gt;C25,"Peak Radial Ground Particle Velocity @ A or more - PPV",IF(C24&lt;=1.5*C20,"Peak Radial Ground Particle Velocity @ A - PPV","Peak Radial Ground Particle Velocity @ R - PPV"))</f>
        <v>Peak Radial Ground Particle Velocity @ R - PPV</v>
      </c>
      <c r="B55" s="28" t="s">
        <v>24</v>
      </c>
      <c r="C55" s="54">
        <f>(C44*0.00617*C49^0.852)/(C48*TANH(26*C49^0.3))</f>
        <v>6.0273775513334314E-2</v>
      </c>
      <c r="D55" s="23" t="s">
        <v>11</v>
      </c>
      <c r="E55" s="44"/>
    </row>
    <row r="56" spans="1:5">
      <c r="A56" s="28" t="s">
        <v>9</v>
      </c>
      <c r="B56" s="28" t="s">
        <v>24</v>
      </c>
      <c r="C56" s="43">
        <f>C55*12</f>
        <v>0.72328530616001174</v>
      </c>
      <c r="D56" s="23" t="s">
        <v>25</v>
      </c>
      <c r="E56" s="44"/>
    </row>
    <row r="57" spans="1:5">
      <c r="A57" s="45" t="s">
        <v>301</v>
      </c>
      <c r="E57" s="44"/>
    </row>
    <row r="58" spans="1:5" ht="18">
      <c r="A58" s="28" t="s">
        <v>83</v>
      </c>
      <c r="C58" s="38" t="str">
        <f>IF(C56&lt;4,"Safe to Blast","Not Safe to Blast")</f>
        <v>Safe to Blast</v>
      </c>
    </row>
  </sheetData>
  <sheetProtection password="CB75" sheet="1" objects="1" scenarios="1"/>
  <phoneticPr fontId="17" type="noConversion"/>
  <pageMargins left="0.2" right="0.2" top="0.2" bottom="0.2" header="0.5" footer="0.5"/>
  <pageSetup orientation="portrait" r:id="rId1"/>
  <headerFooter alignWithMargins="0"/>
  <drawing r:id="rId2"/>
  <legacyDrawing r:id="rId3"/>
  <oleObjects>
    <oleObject progId="MSPhotoEd.3" shapeId="11265" r:id="rId4"/>
  </oleObjects>
</worksheet>
</file>

<file path=xl/worksheets/sheet6.xml><?xml version="1.0" encoding="utf-8"?>
<worksheet xmlns="http://schemas.openxmlformats.org/spreadsheetml/2006/main" xmlns:r="http://schemas.openxmlformats.org/officeDocument/2006/relationships">
  <dimension ref="A2:J141"/>
  <sheetViews>
    <sheetView workbookViewId="0"/>
  </sheetViews>
  <sheetFormatPr defaultRowHeight="12.75"/>
  <cols>
    <col min="1" max="1" width="4" style="1" customWidth="1"/>
    <col min="2" max="2" width="45.28515625" style="1" customWidth="1"/>
    <col min="3" max="3" width="9" style="1" bestFit="1" customWidth="1"/>
    <col min="4" max="4" width="5" style="1" bestFit="1" customWidth="1"/>
    <col min="5" max="5" width="4.85546875" style="1" customWidth="1"/>
    <col min="6" max="6" width="12" bestFit="1" customWidth="1"/>
    <col min="7" max="7" width="12.5703125" style="2" customWidth="1"/>
    <col min="8" max="8" width="33.140625" style="2" bestFit="1" customWidth="1"/>
    <col min="9" max="9" width="31.5703125" bestFit="1" customWidth="1"/>
    <col min="10" max="10" width="35.85546875" bestFit="1" customWidth="1"/>
    <col min="11" max="11" width="4.7109375" bestFit="1" customWidth="1"/>
    <col min="12" max="12" width="2" bestFit="1" customWidth="1"/>
    <col min="13" max="13" width="48.28515625" bestFit="1" customWidth="1"/>
    <col min="14" max="14" width="4" bestFit="1" customWidth="1"/>
    <col min="15" max="15" width="4" customWidth="1"/>
    <col min="16" max="16" width="25.85546875" bestFit="1" customWidth="1"/>
    <col min="17" max="18" width="4" bestFit="1" customWidth="1"/>
    <col min="19" max="19" width="48.28515625" bestFit="1" customWidth="1"/>
    <col min="22" max="22" width="38.5703125" bestFit="1" customWidth="1"/>
    <col min="23" max="23" width="7" bestFit="1" customWidth="1"/>
    <col min="24" max="25" width="7" customWidth="1"/>
    <col min="26" max="26" width="17.7109375" bestFit="1" customWidth="1"/>
    <col min="28" max="28" width="40.28515625" bestFit="1" customWidth="1"/>
  </cols>
  <sheetData>
    <row r="2" spans="1:10">
      <c r="F2" s="14" t="s">
        <v>287</v>
      </c>
      <c r="G2" s="14"/>
    </row>
    <row r="3" spans="1:10">
      <c r="A3" s="3" t="s">
        <v>38</v>
      </c>
      <c r="B3" s="4" t="s">
        <v>26</v>
      </c>
      <c r="C3" s="4" t="s">
        <v>37</v>
      </c>
      <c r="D3" s="4" t="s">
        <v>39</v>
      </c>
      <c r="F3" s="15"/>
      <c r="G3" s="15"/>
      <c r="I3" s="8"/>
      <c r="J3" s="9"/>
    </row>
    <row r="4" spans="1:10">
      <c r="A4" s="4"/>
      <c r="B4" s="7" t="s">
        <v>200</v>
      </c>
      <c r="C4" s="4" t="s">
        <v>3</v>
      </c>
      <c r="D4" s="4"/>
      <c r="F4" s="17" t="s">
        <v>290</v>
      </c>
      <c r="G4" s="17"/>
      <c r="H4" s="18"/>
      <c r="I4" s="19"/>
      <c r="J4" s="20"/>
    </row>
    <row r="5" spans="1:10">
      <c r="A5" s="3">
        <v>1</v>
      </c>
      <c r="B5" s="5" t="s">
        <v>27</v>
      </c>
      <c r="C5" s="10">
        <v>1520000</v>
      </c>
      <c r="D5" s="4">
        <v>1</v>
      </c>
      <c r="F5" s="16"/>
      <c r="G5" s="17" t="s">
        <v>288</v>
      </c>
      <c r="H5" s="18"/>
      <c r="I5" s="8"/>
      <c r="J5" s="9"/>
    </row>
    <row r="6" spans="1:10">
      <c r="A6" s="3">
        <f t="shared" ref="A6:A49" si="0">A5+1</f>
        <v>2</v>
      </c>
      <c r="B6" s="5" t="s">
        <v>28</v>
      </c>
      <c r="C6" s="10">
        <v>1500000</v>
      </c>
      <c r="D6" s="4">
        <v>0.99</v>
      </c>
      <c r="F6" s="16"/>
      <c r="G6" s="17" t="s">
        <v>289</v>
      </c>
      <c r="H6" s="18"/>
      <c r="I6" s="8"/>
      <c r="J6" s="9"/>
    </row>
    <row r="7" spans="1:10">
      <c r="A7" s="3">
        <f t="shared" si="0"/>
        <v>3</v>
      </c>
      <c r="B7" s="5" t="s">
        <v>29</v>
      </c>
      <c r="C7" s="10">
        <v>1700000</v>
      </c>
      <c r="D7" s="4">
        <v>1.1200000000000001</v>
      </c>
      <c r="F7" s="2"/>
      <c r="I7" s="8"/>
      <c r="J7" s="9"/>
    </row>
    <row r="8" spans="1:10">
      <c r="A8" s="3">
        <f t="shared" si="0"/>
        <v>4</v>
      </c>
      <c r="B8" s="5" t="s">
        <v>30</v>
      </c>
      <c r="C8" s="10">
        <v>1700000</v>
      </c>
      <c r="D8" s="4">
        <v>1.1200000000000001</v>
      </c>
      <c r="F8" s="17" t="s">
        <v>291</v>
      </c>
      <c r="G8" s="17"/>
      <c r="H8" s="18"/>
      <c r="I8" s="19"/>
      <c r="J8" s="20"/>
    </row>
    <row r="9" spans="1:10">
      <c r="A9" s="3">
        <f t="shared" si="0"/>
        <v>5</v>
      </c>
      <c r="B9" s="5" t="s">
        <v>31</v>
      </c>
      <c r="C9" s="10">
        <v>1300000</v>
      </c>
      <c r="D9" s="4">
        <v>0.83</v>
      </c>
      <c r="F9" s="16"/>
      <c r="G9" s="17" t="s">
        <v>288</v>
      </c>
      <c r="H9" s="18"/>
      <c r="I9" s="9"/>
      <c r="J9" s="9"/>
    </row>
    <row r="10" spans="1:10">
      <c r="A10" s="3">
        <f t="shared" si="0"/>
        <v>6</v>
      </c>
      <c r="B10" s="5" t="s">
        <v>32</v>
      </c>
      <c r="C10" s="10">
        <v>1590000</v>
      </c>
      <c r="D10" s="4">
        <v>1.05</v>
      </c>
      <c r="F10" s="16"/>
      <c r="G10" s="17" t="s">
        <v>289</v>
      </c>
      <c r="H10" s="18"/>
    </row>
    <row r="11" spans="1:10">
      <c r="A11" s="3">
        <f t="shared" si="0"/>
        <v>7</v>
      </c>
      <c r="B11" s="5" t="s">
        <v>33</v>
      </c>
      <c r="C11" s="10">
        <v>1700000</v>
      </c>
      <c r="D11" s="4">
        <v>1.1200000000000001</v>
      </c>
      <c r="F11" s="2"/>
    </row>
    <row r="12" spans="1:10">
      <c r="A12" s="3">
        <f t="shared" si="0"/>
        <v>8</v>
      </c>
      <c r="B12" s="5" t="s">
        <v>34</v>
      </c>
      <c r="C12" s="10">
        <v>1680000</v>
      </c>
      <c r="D12" s="4">
        <v>1.1100000000000001</v>
      </c>
      <c r="F12" s="18" t="s">
        <v>292</v>
      </c>
      <c r="G12" s="18"/>
      <c r="H12" s="18"/>
      <c r="I12" s="21"/>
    </row>
    <row r="13" spans="1:10">
      <c r="A13" s="3">
        <f t="shared" si="0"/>
        <v>9</v>
      </c>
      <c r="B13" s="5" t="s">
        <v>35</v>
      </c>
      <c r="C13" s="10">
        <v>1760000</v>
      </c>
      <c r="D13" s="4">
        <v>1.1599999999999999</v>
      </c>
      <c r="F13" s="14"/>
      <c r="G13" s="18" t="s">
        <v>293</v>
      </c>
      <c r="H13" s="18"/>
    </row>
    <row r="14" spans="1:10">
      <c r="A14" s="3">
        <f t="shared" si="0"/>
        <v>10</v>
      </c>
      <c r="B14" s="5" t="s">
        <v>36</v>
      </c>
      <c r="C14" s="10">
        <v>1490000</v>
      </c>
      <c r="D14" s="4">
        <v>0.98</v>
      </c>
    </row>
    <row r="15" spans="1:10">
      <c r="A15" s="3">
        <f t="shared" si="0"/>
        <v>11</v>
      </c>
      <c r="B15" s="5" t="s">
        <v>119</v>
      </c>
      <c r="C15" s="10">
        <v>1793600</v>
      </c>
      <c r="D15" s="4">
        <v>1.18</v>
      </c>
    </row>
    <row r="16" spans="1:10">
      <c r="A16" s="3">
        <f t="shared" si="0"/>
        <v>12</v>
      </c>
      <c r="B16" s="6" t="s">
        <v>189</v>
      </c>
      <c r="C16" s="11">
        <v>1620000</v>
      </c>
      <c r="D16" s="4">
        <v>1.08</v>
      </c>
      <c r="F16" t="s">
        <v>296</v>
      </c>
    </row>
    <row r="17" spans="1:6">
      <c r="A17" s="3">
        <f t="shared" si="0"/>
        <v>13</v>
      </c>
      <c r="B17" s="6" t="s">
        <v>225</v>
      </c>
      <c r="C17" s="11">
        <v>1464666.6666671005</v>
      </c>
      <c r="D17" s="4">
        <v>0.97</v>
      </c>
    </row>
    <row r="18" spans="1:6">
      <c r="A18" s="3">
        <f t="shared" si="0"/>
        <v>14</v>
      </c>
      <c r="B18" s="6" t="s">
        <v>246</v>
      </c>
      <c r="C18" s="11">
        <v>1715000</v>
      </c>
      <c r="D18" s="4">
        <v>1.1399999999999999</v>
      </c>
    </row>
    <row r="19" spans="1:6">
      <c r="A19" s="3">
        <f t="shared" si="0"/>
        <v>15</v>
      </c>
      <c r="B19" s="6" t="s">
        <v>249</v>
      </c>
      <c r="C19" s="11">
        <v>1500000</v>
      </c>
      <c r="D19" s="4">
        <v>1</v>
      </c>
    </row>
    <row r="20" spans="1:6">
      <c r="A20" s="3">
        <f t="shared" si="0"/>
        <v>16</v>
      </c>
      <c r="B20" s="6" t="s">
        <v>236</v>
      </c>
      <c r="C20" s="11">
        <v>2033600</v>
      </c>
      <c r="D20" s="4">
        <v>1.35</v>
      </c>
    </row>
    <row r="21" spans="1:6">
      <c r="A21" s="3"/>
      <c r="B21" s="7" t="s">
        <v>279</v>
      </c>
      <c r="C21" s="11"/>
      <c r="D21" s="4"/>
    </row>
    <row r="22" spans="1:6">
      <c r="A22" s="3">
        <f>A20+1</f>
        <v>17</v>
      </c>
      <c r="B22" s="6" t="s">
        <v>166</v>
      </c>
      <c r="C22" s="11">
        <v>1562000</v>
      </c>
      <c r="D22" s="4">
        <v>1.04</v>
      </c>
    </row>
    <row r="23" spans="1:6">
      <c r="A23" s="3">
        <f t="shared" si="0"/>
        <v>18</v>
      </c>
      <c r="B23" s="6" t="s">
        <v>167</v>
      </c>
      <c r="C23" s="11">
        <v>1730000</v>
      </c>
      <c r="D23" s="4">
        <v>1.1499999999999999</v>
      </c>
    </row>
    <row r="24" spans="1:6">
      <c r="A24" s="3">
        <f t="shared" si="0"/>
        <v>19</v>
      </c>
      <c r="B24" s="6" t="s">
        <v>168</v>
      </c>
      <c r="C24" s="11">
        <v>1730000</v>
      </c>
      <c r="D24" s="4">
        <v>1.1499999999999999</v>
      </c>
    </row>
    <row r="25" spans="1:6">
      <c r="A25" s="3">
        <f t="shared" si="0"/>
        <v>20</v>
      </c>
      <c r="B25" s="6" t="s">
        <v>169</v>
      </c>
      <c r="C25" s="11">
        <v>1534000</v>
      </c>
      <c r="D25" s="4">
        <v>1.02</v>
      </c>
      <c r="F25" t="s">
        <v>297</v>
      </c>
    </row>
    <row r="26" spans="1:6">
      <c r="A26" s="3">
        <f t="shared" si="0"/>
        <v>21</v>
      </c>
      <c r="B26" s="6" t="s">
        <v>170</v>
      </c>
      <c r="C26" s="11">
        <v>1534000</v>
      </c>
      <c r="D26" s="4">
        <v>1.02</v>
      </c>
    </row>
    <row r="27" spans="1:6">
      <c r="A27" s="3"/>
      <c r="B27" s="7" t="s">
        <v>199</v>
      </c>
      <c r="C27" s="11"/>
      <c r="D27" s="4"/>
    </row>
    <row r="28" spans="1:6">
      <c r="A28" s="3">
        <f>A26+1</f>
        <v>22</v>
      </c>
      <c r="B28" s="6" t="s">
        <v>171</v>
      </c>
      <c r="C28" s="11">
        <v>1300000</v>
      </c>
      <c r="D28" s="4">
        <v>0.84</v>
      </c>
    </row>
    <row r="29" spans="1:6">
      <c r="A29" s="3">
        <f t="shared" si="0"/>
        <v>23</v>
      </c>
      <c r="B29" s="6" t="s">
        <v>172</v>
      </c>
      <c r="C29" s="11">
        <v>1189166.6666669003</v>
      </c>
      <c r="D29" s="4">
        <v>0.76</v>
      </c>
    </row>
    <row r="30" spans="1:6">
      <c r="A30" s="3">
        <f t="shared" si="0"/>
        <v>24</v>
      </c>
      <c r="B30" s="6" t="s">
        <v>173</v>
      </c>
      <c r="C30" s="11">
        <v>1325333.3333334001</v>
      </c>
      <c r="D30" s="4">
        <v>0.86</v>
      </c>
    </row>
    <row r="31" spans="1:6">
      <c r="A31" s="3">
        <f t="shared" si="0"/>
        <v>25</v>
      </c>
      <c r="B31" s="6" t="s">
        <v>174</v>
      </c>
      <c r="C31" s="11">
        <v>1452000.0000004005</v>
      </c>
      <c r="D31" s="4">
        <v>0.96</v>
      </c>
    </row>
    <row r="32" spans="1:6">
      <c r="A32" s="3">
        <f t="shared" si="0"/>
        <v>26</v>
      </c>
      <c r="B32" s="6" t="s">
        <v>281</v>
      </c>
      <c r="C32" s="11">
        <v>1173333.3333336003</v>
      </c>
      <c r="D32" s="4">
        <v>0.75</v>
      </c>
    </row>
    <row r="33" spans="1:8">
      <c r="A33" s="3">
        <f t="shared" si="0"/>
        <v>27</v>
      </c>
      <c r="B33" s="6" t="s">
        <v>282</v>
      </c>
      <c r="C33" s="11">
        <v>1338000.0000001001</v>
      </c>
      <c r="D33" s="4">
        <v>0.87</v>
      </c>
    </row>
    <row r="34" spans="1:8">
      <c r="A34" s="3">
        <f t="shared" si="0"/>
        <v>28</v>
      </c>
      <c r="B34" s="6" t="s">
        <v>283</v>
      </c>
      <c r="C34" s="11">
        <v>1439333.3333337004</v>
      </c>
      <c r="D34" s="4">
        <v>0.95</v>
      </c>
      <c r="F34" t="s">
        <v>298</v>
      </c>
    </row>
    <row r="35" spans="1:8">
      <c r="A35" s="3">
        <f t="shared" si="0"/>
        <v>29</v>
      </c>
      <c r="B35" s="6" t="s">
        <v>284</v>
      </c>
      <c r="C35" s="11">
        <v>1173333.3333336003</v>
      </c>
      <c r="D35" s="4">
        <v>0.75</v>
      </c>
    </row>
    <row r="36" spans="1:8">
      <c r="A36" s="3">
        <f t="shared" si="0"/>
        <v>30</v>
      </c>
      <c r="B36" s="6" t="s">
        <v>285</v>
      </c>
      <c r="C36" s="11">
        <v>1338000.0000001001</v>
      </c>
      <c r="D36" s="4">
        <v>0.87</v>
      </c>
    </row>
    <row r="37" spans="1:8">
      <c r="A37" s="3">
        <f t="shared" si="0"/>
        <v>31</v>
      </c>
      <c r="B37" s="6" t="s">
        <v>286</v>
      </c>
      <c r="C37" s="11">
        <v>1439333.3333337004</v>
      </c>
      <c r="D37" s="4">
        <v>0.95</v>
      </c>
    </row>
    <row r="38" spans="1:8">
      <c r="A38" s="3">
        <f t="shared" si="0"/>
        <v>32</v>
      </c>
      <c r="B38" s="6" t="s">
        <v>175</v>
      </c>
      <c r="C38" s="11">
        <v>825000.00000100117</v>
      </c>
      <c r="D38" s="4">
        <v>0.53</v>
      </c>
      <c r="F38" t="s">
        <v>299</v>
      </c>
    </row>
    <row r="39" spans="1:8">
      <c r="A39" s="3">
        <f t="shared" si="0"/>
        <v>33</v>
      </c>
      <c r="B39" s="6" t="s">
        <v>176</v>
      </c>
      <c r="C39" s="11">
        <v>1268333.3333334001</v>
      </c>
      <c r="D39" s="4">
        <v>0.81</v>
      </c>
    </row>
    <row r="40" spans="1:8">
      <c r="A40" s="3">
        <f t="shared" si="0"/>
        <v>34</v>
      </c>
      <c r="B40" s="6" t="s">
        <v>177</v>
      </c>
      <c r="C40" s="11">
        <v>1236666.6666668002</v>
      </c>
      <c r="D40" s="4">
        <v>0.79</v>
      </c>
    </row>
    <row r="41" spans="1:8">
      <c r="A41" s="3">
        <f t="shared" si="0"/>
        <v>35</v>
      </c>
      <c r="B41" s="6" t="s">
        <v>178</v>
      </c>
      <c r="C41" s="11">
        <v>1388666.6666669003</v>
      </c>
      <c r="D41" s="4">
        <v>0.91</v>
      </c>
    </row>
    <row r="42" spans="1:8">
      <c r="A42" s="3">
        <f t="shared" si="0"/>
        <v>36</v>
      </c>
      <c r="B42" s="6" t="s">
        <v>179</v>
      </c>
      <c r="C42" s="11">
        <v>1300000</v>
      </c>
      <c r="D42" s="4">
        <v>0.84</v>
      </c>
      <c r="G42" s="2" t="s">
        <v>161</v>
      </c>
    </row>
    <row r="43" spans="1:8">
      <c r="A43" s="3">
        <f t="shared" si="0"/>
        <v>37</v>
      </c>
      <c r="B43" s="6" t="s">
        <v>180</v>
      </c>
      <c r="C43" s="11">
        <v>1312666.6666667</v>
      </c>
      <c r="D43" s="4">
        <v>0.85</v>
      </c>
    </row>
    <row r="44" spans="1:8">
      <c r="A44" s="3">
        <f t="shared" si="0"/>
        <v>38</v>
      </c>
      <c r="B44" s="6" t="s">
        <v>181</v>
      </c>
      <c r="C44" s="11">
        <v>1363333.3333335002</v>
      </c>
      <c r="D44" s="4">
        <v>0.89</v>
      </c>
      <c r="H44" s="2" t="s">
        <v>294</v>
      </c>
    </row>
    <row r="45" spans="1:8">
      <c r="A45" s="3">
        <f t="shared" si="0"/>
        <v>39</v>
      </c>
      <c r="B45" s="6" t="s">
        <v>182</v>
      </c>
      <c r="C45" s="11">
        <v>1350666.6666668002</v>
      </c>
      <c r="D45" s="4">
        <v>0.88</v>
      </c>
    </row>
    <row r="46" spans="1:8">
      <c r="A46" s="3">
        <f t="shared" si="0"/>
        <v>40</v>
      </c>
      <c r="B46" s="6" t="s">
        <v>183</v>
      </c>
      <c r="C46" s="11">
        <v>1520000</v>
      </c>
      <c r="D46" s="4">
        <v>1.01</v>
      </c>
    </row>
    <row r="47" spans="1:8">
      <c r="A47" s="3">
        <f t="shared" si="0"/>
        <v>41</v>
      </c>
      <c r="B47" s="6" t="s">
        <v>184</v>
      </c>
      <c r="C47" s="11">
        <v>1338000.0000001001</v>
      </c>
      <c r="D47" s="4">
        <v>0.87</v>
      </c>
    </row>
    <row r="48" spans="1:8">
      <c r="A48" s="3">
        <f t="shared" si="0"/>
        <v>42</v>
      </c>
      <c r="B48" s="6" t="s">
        <v>185</v>
      </c>
      <c r="C48" s="11">
        <v>1401333.3333336003</v>
      </c>
      <c r="D48" s="4">
        <v>0.92</v>
      </c>
      <c r="H48" s="2" t="s">
        <v>295</v>
      </c>
    </row>
    <row r="49" spans="1:6">
      <c r="A49" s="3">
        <f t="shared" si="0"/>
        <v>43</v>
      </c>
      <c r="B49" s="6" t="s">
        <v>186</v>
      </c>
      <c r="C49" s="11">
        <v>1534000</v>
      </c>
      <c r="D49" s="4">
        <v>1.02</v>
      </c>
    </row>
    <row r="50" spans="1:6">
      <c r="A50" s="3">
        <f t="shared" ref="A50:A119" si="1">A49+1</f>
        <v>44</v>
      </c>
      <c r="B50" s="6" t="s">
        <v>187</v>
      </c>
      <c r="C50" s="11">
        <v>1439333.3333337004</v>
      </c>
      <c r="D50" s="4">
        <v>0.95</v>
      </c>
    </row>
    <row r="51" spans="1:6">
      <c r="A51" s="3">
        <f t="shared" si="1"/>
        <v>45</v>
      </c>
      <c r="B51" s="6" t="s">
        <v>188</v>
      </c>
      <c r="C51" s="11">
        <v>1680000</v>
      </c>
      <c r="D51" s="4">
        <v>1.1200000000000001</v>
      </c>
    </row>
    <row r="52" spans="1:6">
      <c r="A52" s="3">
        <f t="shared" si="1"/>
        <v>46</v>
      </c>
      <c r="B52" s="6" t="s">
        <v>189</v>
      </c>
      <c r="C52" s="11">
        <v>1620000</v>
      </c>
      <c r="D52" s="4">
        <v>1.08</v>
      </c>
      <c r="F52" t="s">
        <v>63</v>
      </c>
    </row>
    <row r="53" spans="1:6">
      <c r="A53" s="3">
        <f t="shared" si="1"/>
        <v>47</v>
      </c>
      <c r="B53" s="6" t="s">
        <v>190</v>
      </c>
      <c r="C53" s="11">
        <v>1576000</v>
      </c>
      <c r="D53" s="4">
        <v>1.05</v>
      </c>
    </row>
    <row r="54" spans="1:6">
      <c r="A54" s="3">
        <f t="shared" si="1"/>
        <v>48</v>
      </c>
      <c r="B54" s="6" t="s">
        <v>191</v>
      </c>
      <c r="C54" s="11">
        <v>1414000.0000003004</v>
      </c>
      <c r="D54" s="4">
        <v>0.93</v>
      </c>
    </row>
    <row r="55" spans="1:6">
      <c r="A55" s="3">
        <f t="shared" si="1"/>
        <v>49</v>
      </c>
      <c r="B55" s="6" t="s">
        <v>192</v>
      </c>
      <c r="C55" s="11">
        <v>1363333.3333335002</v>
      </c>
      <c r="D55" s="4">
        <v>0.89</v>
      </c>
    </row>
    <row r="56" spans="1:6">
      <c r="A56" s="3">
        <f t="shared" si="1"/>
        <v>50</v>
      </c>
      <c r="B56" s="6" t="s">
        <v>193</v>
      </c>
      <c r="C56" s="11">
        <v>1173333.3333336003</v>
      </c>
      <c r="D56" s="4">
        <v>0.75</v>
      </c>
    </row>
    <row r="57" spans="1:6">
      <c r="A57" s="3">
        <f t="shared" si="1"/>
        <v>51</v>
      </c>
      <c r="B57" s="6" t="s">
        <v>194</v>
      </c>
      <c r="C57" s="11">
        <v>1576000</v>
      </c>
      <c r="D57" s="4">
        <v>1.05</v>
      </c>
    </row>
    <row r="58" spans="1:6">
      <c r="A58" s="3">
        <f t="shared" si="1"/>
        <v>52</v>
      </c>
      <c r="B58" s="6" t="s">
        <v>195</v>
      </c>
      <c r="C58" s="11">
        <v>1205000.0000002002</v>
      </c>
      <c r="D58" s="4">
        <v>0.77</v>
      </c>
    </row>
    <row r="59" spans="1:6">
      <c r="A59" s="3">
        <f t="shared" si="1"/>
        <v>53</v>
      </c>
      <c r="B59" s="6" t="s">
        <v>197</v>
      </c>
      <c r="C59" s="11">
        <v>1605000</v>
      </c>
      <c r="D59" s="4">
        <v>1.07</v>
      </c>
    </row>
    <row r="60" spans="1:6">
      <c r="A60" s="3">
        <f t="shared" si="1"/>
        <v>54</v>
      </c>
      <c r="B60" s="6" t="s">
        <v>196</v>
      </c>
      <c r="C60" s="11">
        <v>1808600</v>
      </c>
      <c r="D60" s="4">
        <v>1.2</v>
      </c>
    </row>
    <row r="61" spans="1:6">
      <c r="A61" s="3">
        <f t="shared" si="1"/>
        <v>55</v>
      </c>
      <c r="B61" s="6" t="s">
        <v>198</v>
      </c>
      <c r="C61" s="11">
        <v>1605000</v>
      </c>
      <c r="D61" s="4">
        <v>1.07</v>
      </c>
    </row>
    <row r="62" spans="1:6">
      <c r="A62" s="3"/>
      <c r="B62" s="7" t="s">
        <v>280</v>
      </c>
      <c r="C62" s="11"/>
      <c r="D62" s="4"/>
    </row>
    <row r="63" spans="1:6">
      <c r="A63" s="3">
        <f>A61+1</f>
        <v>56</v>
      </c>
      <c r="B63" s="6" t="s">
        <v>201</v>
      </c>
      <c r="C63" s="11">
        <v>1300000</v>
      </c>
      <c r="D63" s="4">
        <v>0.84</v>
      </c>
      <c r="F63" t="s">
        <v>300</v>
      </c>
    </row>
    <row r="64" spans="1:6">
      <c r="A64" s="3">
        <f t="shared" si="1"/>
        <v>57</v>
      </c>
      <c r="B64" s="6" t="s">
        <v>202</v>
      </c>
      <c r="C64" s="11">
        <v>1205000.0000002002</v>
      </c>
      <c r="D64" s="4">
        <v>0.77</v>
      </c>
      <c r="F64" s="1"/>
    </row>
    <row r="65" spans="1:8">
      <c r="A65" s="3">
        <f t="shared" si="1"/>
        <v>58</v>
      </c>
      <c r="B65" s="6" t="s">
        <v>203</v>
      </c>
      <c r="C65" s="11">
        <v>1125833.3333337004</v>
      </c>
      <c r="D65" s="4">
        <v>0.72</v>
      </c>
      <c r="F65" s="1"/>
    </row>
    <row r="66" spans="1:8">
      <c r="A66" s="3"/>
      <c r="B66" s="7" t="s">
        <v>205</v>
      </c>
      <c r="C66" s="11"/>
      <c r="D66" s="4"/>
      <c r="F66" s="1"/>
    </row>
    <row r="67" spans="1:8">
      <c r="A67" s="3">
        <f>A65+1</f>
        <v>59</v>
      </c>
      <c r="B67" s="6" t="s">
        <v>204</v>
      </c>
      <c r="C67" s="11">
        <v>1823600</v>
      </c>
      <c r="D67" s="4">
        <v>1.21</v>
      </c>
      <c r="F67" s="1"/>
    </row>
    <row r="68" spans="1:8">
      <c r="A68" s="3">
        <f t="shared" si="1"/>
        <v>60</v>
      </c>
      <c r="B68" s="6" t="s">
        <v>206</v>
      </c>
      <c r="C68" s="11">
        <v>2198600</v>
      </c>
      <c r="D68" s="4">
        <v>1.46</v>
      </c>
      <c r="F68" s="1"/>
    </row>
    <row r="69" spans="1:8">
      <c r="A69" s="3">
        <f t="shared" si="1"/>
        <v>61</v>
      </c>
      <c r="B69" s="6" t="s">
        <v>207</v>
      </c>
      <c r="C69" s="11">
        <v>1775000</v>
      </c>
      <c r="D69" s="4">
        <v>1.18</v>
      </c>
      <c r="F69" t="s">
        <v>127</v>
      </c>
      <c r="G69" s="2" t="s">
        <v>132</v>
      </c>
    </row>
    <row r="70" spans="1:8">
      <c r="A70" s="3">
        <f t="shared" si="1"/>
        <v>62</v>
      </c>
      <c r="B70" s="6" t="s">
        <v>208</v>
      </c>
      <c r="C70" s="11">
        <v>1500000</v>
      </c>
      <c r="D70" s="4">
        <v>1</v>
      </c>
      <c r="F70" t="s">
        <v>128</v>
      </c>
      <c r="G70" s="2" t="s">
        <v>129</v>
      </c>
    </row>
    <row r="71" spans="1:8">
      <c r="A71" s="3">
        <f t="shared" si="1"/>
        <v>63</v>
      </c>
      <c r="B71" s="6" t="s">
        <v>209</v>
      </c>
      <c r="C71" s="11">
        <v>1500000</v>
      </c>
      <c r="D71" s="4">
        <v>1</v>
      </c>
      <c r="F71" t="s">
        <v>130</v>
      </c>
      <c r="G71" s="2" t="s">
        <v>131</v>
      </c>
    </row>
    <row r="72" spans="1:8">
      <c r="A72" s="3">
        <f t="shared" si="1"/>
        <v>64</v>
      </c>
      <c r="B72" s="6" t="s">
        <v>210</v>
      </c>
      <c r="C72" s="11">
        <v>1576000</v>
      </c>
      <c r="D72" s="4">
        <v>1.05</v>
      </c>
      <c r="F72" t="s">
        <v>133</v>
      </c>
      <c r="G72" s="2" t="s">
        <v>134</v>
      </c>
    </row>
    <row r="73" spans="1:8">
      <c r="A73" s="3">
        <f t="shared" si="1"/>
        <v>65</v>
      </c>
      <c r="B73" s="6" t="s">
        <v>211</v>
      </c>
      <c r="C73" s="11">
        <v>1477333.3333338005</v>
      </c>
      <c r="D73" s="4">
        <v>0.98</v>
      </c>
      <c r="F73" t="s">
        <v>125</v>
      </c>
      <c r="G73" s="2" t="s">
        <v>126</v>
      </c>
    </row>
    <row r="74" spans="1:8">
      <c r="A74" s="3">
        <f t="shared" si="1"/>
        <v>66</v>
      </c>
      <c r="B74" s="6" t="s">
        <v>212</v>
      </c>
      <c r="C74" s="11">
        <v>1376000.0000002002</v>
      </c>
      <c r="D74" s="4">
        <v>0.9</v>
      </c>
      <c r="F74" s="1"/>
    </row>
    <row r="75" spans="1:8">
      <c r="A75" s="3">
        <f t="shared" si="1"/>
        <v>67</v>
      </c>
      <c r="B75" s="6" t="s">
        <v>213</v>
      </c>
      <c r="C75" s="11">
        <v>1520000</v>
      </c>
      <c r="D75" s="4">
        <v>1.01</v>
      </c>
      <c r="F75" s="1"/>
    </row>
    <row r="76" spans="1:8">
      <c r="A76" s="3"/>
      <c r="B76" s="7" t="s">
        <v>215</v>
      </c>
      <c r="C76" s="11"/>
      <c r="D76" s="4"/>
      <c r="F76" s="1" t="s">
        <v>135</v>
      </c>
      <c r="G76" s="12">
        <v>160</v>
      </c>
    </row>
    <row r="77" spans="1:8">
      <c r="A77" s="3">
        <f>A75+1</f>
        <v>68</v>
      </c>
      <c r="B77" s="6" t="s">
        <v>214</v>
      </c>
      <c r="C77" s="11">
        <v>1268333.3333334001</v>
      </c>
      <c r="D77" s="4">
        <v>0.82</v>
      </c>
      <c r="F77" s="1" t="s">
        <v>13</v>
      </c>
      <c r="G77" s="12">
        <v>150</v>
      </c>
      <c r="H77" s="2" t="s">
        <v>136</v>
      </c>
    </row>
    <row r="78" spans="1:8">
      <c r="A78" s="3">
        <f t="shared" si="1"/>
        <v>69</v>
      </c>
      <c r="B78" s="6" t="s">
        <v>214</v>
      </c>
      <c r="C78" s="11">
        <v>1173333.3333336003</v>
      </c>
      <c r="D78" s="4">
        <v>0.75</v>
      </c>
      <c r="F78" s="1" t="s">
        <v>0</v>
      </c>
      <c r="G78" s="12">
        <v>173.18559999999999</v>
      </c>
    </row>
    <row r="79" spans="1:8">
      <c r="A79" s="3">
        <f t="shared" si="1"/>
        <v>70</v>
      </c>
      <c r="B79" s="6" t="s">
        <v>216</v>
      </c>
      <c r="C79" s="11">
        <v>1252500.0000001001</v>
      </c>
      <c r="D79" s="4">
        <v>0.8</v>
      </c>
      <c r="F79" s="1" t="s">
        <v>137</v>
      </c>
      <c r="G79" s="12">
        <v>1.6</v>
      </c>
    </row>
    <row r="80" spans="1:8">
      <c r="A80" s="3">
        <f t="shared" si="1"/>
        <v>71</v>
      </c>
      <c r="B80" s="6" t="s">
        <v>217</v>
      </c>
      <c r="C80" s="11">
        <v>1388666.6666669003</v>
      </c>
      <c r="D80" s="4">
        <v>0.91</v>
      </c>
      <c r="F80" s="1" t="s">
        <v>138</v>
      </c>
      <c r="G80" s="13">
        <f>G76*(G77/(SQRT(G78)))^-G79</f>
        <v>3.2597432223147882</v>
      </c>
      <c r="H80" s="2" t="s">
        <v>139</v>
      </c>
    </row>
    <row r="81" spans="1:8">
      <c r="A81" s="3">
        <f t="shared" si="1"/>
        <v>72</v>
      </c>
      <c r="B81" s="6" t="s">
        <v>218</v>
      </c>
      <c r="C81" s="11">
        <v>1490000</v>
      </c>
      <c r="D81" s="4">
        <v>0.99</v>
      </c>
      <c r="F81" s="1"/>
    </row>
    <row r="82" spans="1:8">
      <c r="A82" s="3">
        <f t="shared" si="1"/>
        <v>73</v>
      </c>
      <c r="B82" s="6" t="s">
        <v>219</v>
      </c>
      <c r="C82" s="11">
        <v>1635000</v>
      </c>
      <c r="D82" s="4">
        <v>1.0900000000000001</v>
      </c>
      <c r="F82" s="1"/>
    </row>
    <row r="83" spans="1:8">
      <c r="A83" s="3">
        <f t="shared" si="1"/>
        <v>74</v>
      </c>
      <c r="B83" s="6" t="s">
        <v>220</v>
      </c>
      <c r="C83" s="11">
        <v>1760000</v>
      </c>
      <c r="D83" s="4">
        <v>1.17</v>
      </c>
      <c r="F83" s="1"/>
    </row>
    <row r="84" spans="1:8">
      <c r="A84" s="3">
        <f t="shared" si="1"/>
        <v>75</v>
      </c>
      <c r="B84" s="6" t="s">
        <v>221</v>
      </c>
      <c r="C84" s="11">
        <v>1268333.3333334001</v>
      </c>
      <c r="D84" s="4">
        <v>0.82</v>
      </c>
      <c r="F84" s="1"/>
    </row>
    <row r="85" spans="1:8">
      <c r="A85" s="3">
        <f t="shared" si="1"/>
        <v>76</v>
      </c>
      <c r="B85" s="6" t="s">
        <v>222</v>
      </c>
      <c r="C85" s="11">
        <v>1268333.3333334001</v>
      </c>
      <c r="D85" s="4">
        <v>0.82</v>
      </c>
      <c r="F85" s="1"/>
    </row>
    <row r="86" spans="1:8">
      <c r="A86" s="3">
        <f t="shared" si="1"/>
        <v>77</v>
      </c>
      <c r="B86" s="6" t="s">
        <v>223</v>
      </c>
      <c r="C86" s="11">
        <v>1388666.6666669003</v>
      </c>
      <c r="D86" s="4">
        <v>0.91</v>
      </c>
      <c r="F86" s="1"/>
    </row>
    <row r="87" spans="1:8">
      <c r="A87" s="3">
        <f t="shared" si="1"/>
        <v>78</v>
      </c>
      <c r="B87" s="6" t="s">
        <v>224</v>
      </c>
      <c r="C87" s="11">
        <v>1388666.6666669003</v>
      </c>
      <c r="D87" s="4">
        <v>0.91</v>
      </c>
      <c r="F87" s="1" t="s">
        <v>130</v>
      </c>
      <c r="G87" s="2" t="s">
        <v>140</v>
      </c>
    </row>
    <row r="88" spans="1:8">
      <c r="A88" s="3">
        <f t="shared" si="1"/>
        <v>79</v>
      </c>
      <c r="B88" s="6" t="s">
        <v>225</v>
      </c>
      <c r="C88" s="11">
        <v>1464666.6666671005</v>
      </c>
      <c r="D88" s="4">
        <v>0.97</v>
      </c>
      <c r="F88" s="1" t="s">
        <v>141</v>
      </c>
      <c r="G88" s="2" t="s">
        <v>142</v>
      </c>
    </row>
    <row r="89" spans="1:8">
      <c r="A89" s="3">
        <f t="shared" si="1"/>
        <v>80</v>
      </c>
      <c r="B89" s="6" t="s">
        <v>226</v>
      </c>
      <c r="C89" s="11">
        <v>1500000</v>
      </c>
      <c r="D89" s="4">
        <v>1</v>
      </c>
      <c r="F89" s="1" t="s">
        <v>143</v>
      </c>
      <c r="G89" s="2" t="s">
        <v>144</v>
      </c>
    </row>
    <row r="90" spans="1:8">
      <c r="A90" s="3">
        <f t="shared" si="1"/>
        <v>81</v>
      </c>
      <c r="B90" s="6" t="s">
        <v>227</v>
      </c>
      <c r="C90" s="11">
        <v>1388666.6666669003</v>
      </c>
      <c r="D90" s="4">
        <v>0.91</v>
      </c>
      <c r="F90" s="1"/>
    </row>
    <row r="91" spans="1:8">
      <c r="A91" s="3">
        <f t="shared" si="1"/>
        <v>82</v>
      </c>
      <c r="B91" s="6" t="s">
        <v>228</v>
      </c>
      <c r="C91" s="11">
        <v>1125833.3333337004</v>
      </c>
      <c r="D91" s="4">
        <v>0.72</v>
      </c>
      <c r="F91" s="1" t="s">
        <v>0</v>
      </c>
      <c r="G91" s="12">
        <v>360</v>
      </c>
      <c r="H91" s="2" t="s">
        <v>146</v>
      </c>
    </row>
    <row r="92" spans="1:8">
      <c r="A92" s="3">
        <f t="shared" si="1"/>
        <v>83</v>
      </c>
      <c r="B92" s="6" t="s">
        <v>229</v>
      </c>
      <c r="C92" s="11">
        <v>1125833.3333337004</v>
      </c>
      <c r="D92" s="4">
        <v>0.72</v>
      </c>
      <c r="F92" s="1" t="s">
        <v>41</v>
      </c>
      <c r="G92" s="12">
        <v>100</v>
      </c>
      <c r="H92" s="2" t="s">
        <v>14</v>
      </c>
    </row>
    <row r="93" spans="1:8">
      <c r="A93" s="3">
        <f t="shared" si="1"/>
        <v>84</v>
      </c>
      <c r="B93" s="6" t="s">
        <v>230</v>
      </c>
      <c r="C93" s="11">
        <v>1125833.3333337004</v>
      </c>
      <c r="D93" s="4">
        <v>0.72</v>
      </c>
      <c r="F93" s="1" t="s">
        <v>145</v>
      </c>
      <c r="G93" s="13">
        <f>G92/SQRT(G91)</f>
        <v>5.2704627669472988</v>
      </c>
    </row>
    <row r="94" spans="1:8">
      <c r="A94" s="3">
        <f t="shared" si="1"/>
        <v>85</v>
      </c>
      <c r="B94" s="6" t="s">
        <v>231</v>
      </c>
      <c r="C94" s="11">
        <v>1252500.0000001001</v>
      </c>
      <c r="D94" s="4">
        <v>0.8</v>
      </c>
      <c r="F94" s="1"/>
    </row>
    <row r="95" spans="1:8">
      <c r="A95" s="3">
        <f t="shared" si="1"/>
        <v>86</v>
      </c>
      <c r="B95" s="6" t="s">
        <v>232</v>
      </c>
      <c r="C95" s="11">
        <v>1252500.0000001001</v>
      </c>
      <c r="D95" s="4">
        <v>0.8</v>
      </c>
      <c r="F95" s="1"/>
      <c r="G95" s="2" t="s">
        <v>148</v>
      </c>
    </row>
    <row r="96" spans="1:8">
      <c r="A96" s="3">
        <f t="shared" si="1"/>
        <v>87</v>
      </c>
      <c r="B96" s="6" t="s">
        <v>233</v>
      </c>
      <c r="C96" s="11">
        <v>1350666.6666668002</v>
      </c>
      <c r="D96" s="4">
        <v>0.88</v>
      </c>
      <c r="F96" s="1"/>
      <c r="G96" s="2" t="s">
        <v>147</v>
      </c>
    </row>
    <row r="97" spans="1:4">
      <c r="A97" s="3">
        <f t="shared" si="1"/>
        <v>88</v>
      </c>
      <c r="B97" s="6" t="s">
        <v>234</v>
      </c>
      <c r="C97" s="11">
        <v>1325333.3333334001</v>
      </c>
      <c r="D97" s="4">
        <v>0.86</v>
      </c>
    </row>
    <row r="98" spans="1:4">
      <c r="A98" s="3">
        <f t="shared" si="1"/>
        <v>89</v>
      </c>
      <c r="B98" s="6" t="s">
        <v>235</v>
      </c>
      <c r="C98" s="11">
        <v>1268333.3333334001</v>
      </c>
      <c r="D98" s="4">
        <v>0.82</v>
      </c>
    </row>
    <row r="99" spans="1:4">
      <c r="A99" s="3">
        <f t="shared" si="1"/>
        <v>90</v>
      </c>
      <c r="B99" s="6" t="s">
        <v>236</v>
      </c>
      <c r="C99" s="11">
        <v>2033600</v>
      </c>
      <c r="D99" s="4">
        <v>1.35</v>
      </c>
    </row>
    <row r="100" spans="1:4">
      <c r="A100" s="3"/>
      <c r="B100" s="7" t="s">
        <v>237</v>
      </c>
      <c r="C100" s="11"/>
      <c r="D100" s="4"/>
    </row>
    <row r="101" spans="1:4">
      <c r="A101" s="3">
        <f>A99+1</f>
        <v>91</v>
      </c>
      <c r="B101" s="6" t="s">
        <v>238</v>
      </c>
      <c r="C101" s="11">
        <v>1562000</v>
      </c>
      <c r="D101" s="4">
        <v>1.04</v>
      </c>
    </row>
    <row r="102" spans="1:4">
      <c r="A102" s="3">
        <f t="shared" si="1"/>
        <v>92</v>
      </c>
      <c r="B102" s="6" t="s">
        <v>239</v>
      </c>
      <c r="C102" s="11">
        <v>1590000</v>
      </c>
      <c r="D102" s="4">
        <v>1.06</v>
      </c>
    </row>
    <row r="103" spans="1:4">
      <c r="A103" s="3">
        <f t="shared" si="1"/>
        <v>93</v>
      </c>
      <c r="B103" s="6" t="s">
        <v>240</v>
      </c>
      <c r="C103" s="11">
        <v>1490000</v>
      </c>
      <c r="D103" s="4">
        <v>0.99</v>
      </c>
    </row>
    <row r="104" spans="1:4">
      <c r="A104" s="3">
        <f t="shared" si="1"/>
        <v>94</v>
      </c>
      <c r="B104" s="6" t="s">
        <v>241</v>
      </c>
      <c r="C104" s="11">
        <v>1590000</v>
      </c>
      <c r="D104" s="4">
        <v>1.06</v>
      </c>
    </row>
    <row r="105" spans="1:4">
      <c r="A105" s="3">
        <f t="shared" si="1"/>
        <v>95</v>
      </c>
      <c r="B105" s="6" t="s">
        <v>242</v>
      </c>
      <c r="C105" s="11">
        <v>1548000</v>
      </c>
      <c r="D105" s="4">
        <v>1.03</v>
      </c>
    </row>
    <row r="106" spans="1:4">
      <c r="A106" s="3">
        <f t="shared" si="1"/>
        <v>96</v>
      </c>
      <c r="B106" s="6" t="s">
        <v>243</v>
      </c>
      <c r="C106" s="11">
        <v>1338000.0000001001</v>
      </c>
      <c r="D106" s="4">
        <v>0.87</v>
      </c>
    </row>
    <row r="107" spans="1:4">
      <c r="A107" s="3"/>
      <c r="B107" s="7" t="s">
        <v>244</v>
      </c>
      <c r="C107" s="11"/>
      <c r="D107" s="4"/>
    </row>
    <row r="108" spans="1:4">
      <c r="A108" s="3">
        <f>A106+1</f>
        <v>97</v>
      </c>
      <c r="B108" s="6" t="s">
        <v>245</v>
      </c>
      <c r="C108" s="11">
        <v>1700000</v>
      </c>
      <c r="D108" s="4">
        <v>1.1299999999999999</v>
      </c>
    </row>
    <row r="109" spans="1:4">
      <c r="A109" s="3">
        <f t="shared" si="1"/>
        <v>98</v>
      </c>
      <c r="B109" s="6" t="s">
        <v>246</v>
      </c>
      <c r="C109" s="11">
        <v>1715000</v>
      </c>
      <c r="D109" s="4">
        <v>1.1399999999999999</v>
      </c>
    </row>
    <row r="110" spans="1:4">
      <c r="A110" s="3"/>
      <c r="B110" s="7" t="s">
        <v>247</v>
      </c>
      <c r="C110" s="11"/>
      <c r="D110" s="4"/>
    </row>
    <row r="111" spans="1:4">
      <c r="A111" s="3">
        <f>A109+1</f>
        <v>99</v>
      </c>
      <c r="B111" s="6" t="s">
        <v>248</v>
      </c>
      <c r="C111" s="11">
        <v>1562000</v>
      </c>
      <c r="D111" s="4">
        <v>1.04</v>
      </c>
    </row>
    <row r="112" spans="1:4">
      <c r="A112" s="3">
        <f t="shared" si="1"/>
        <v>100</v>
      </c>
      <c r="B112" s="6" t="s">
        <v>249</v>
      </c>
      <c r="C112" s="11">
        <v>1500000</v>
      </c>
      <c r="D112" s="4">
        <v>1</v>
      </c>
    </row>
    <row r="113" spans="1:4">
      <c r="A113" s="3">
        <f t="shared" si="1"/>
        <v>101</v>
      </c>
      <c r="B113" s="6" t="s">
        <v>250</v>
      </c>
      <c r="C113" s="11">
        <v>1520000</v>
      </c>
      <c r="D113" s="4">
        <v>1.01</v>
      </c>
    </row>
    <row r="114" spans="1:4">
      <c r="A114" s="3">
        <f t="shared" si="1"/>
        <v>102</v>
      </c>
      <c r="B114" s="6" t="s">
        <v>251</v>
      </c>
      <c r="C114" s="11">
        <v>1665000</v>
      </c>
      <c r="D114" s="4">
        <v>1.1100000000000001</v>
      </c>
    </row>
    <row r="115" spans="1:4">
      <c r="A115" s="3">
        <f t="shared" si="1"/>
        <v>103</v>
      </c>
      <c r="B115" s="6" t="s">
        <v>252</v>
      </c>
      <c r="C115" s="11">
        <v>1590000</v>
      </c>
      <c r="D115" s="4">
        <v>1.06</v>
      </c>
    </row>
    <row r="116" spans="1:4">
      <c r="A116" s="3">
        <f t="shared" si="1"/>
        <v>104</v>
      </c>
      <c r="B116" s="6" t="s">
        <v>253</v>
      </c>
      <c r="C116" s="11">
        <v>1500000</v>
      </c>
      <c r="D116" s="4">
        <v>1</v>
      </c>
    </row>
    <row r="117" spans="1:4">
      <c r="A117" s="3">
        <f t="shared" si="1"/>
        <v>105</v>
      </c>
      <c r="B117" s="6" t="s">
        <v>254</v>
      </c>
      <c r="C117" s="11">
        <v>1745000</v>
      </c>
      <c r="D117" s="4">
        <v>1.1599999999999999</v>
      </c>
    </row>
    <row r="118" spans="1:4">
      <c r="A118" s="3">
        <f t="shared" si="1"/>
        <v>106</v>
      </c>
      <c r="B118" s="6" t="s">
        <v>255</v>
      </c>
      <c r="C118" s="11">
        <v>1220833.3333335002</v>
      </c>
      <c r="D118" s="4">
        <v>0.78</v>
      </c>
    </row>
    <row r="119" spans="1:4">
      <c r="A119" s="3">
        <f t="shared" si="1"/>
        <v>107</v>
      </c>
      <c r="B119" s="6" t="s">
        <v>256</v>
      </c>
      <c r="C119" s="11">
        <v>1439333.3333337004</v>
      </c>
      <c r="D119" s="4">
        <v>0.95</v>
      </c>
    </row>
    <row r="120" spans="1:4">
      <c r="A120" s="3">
        <f>A119+1</f>
        <v>108</v>
      </c>
      <c r="B120" s="6" t="s">
        <v>257</v>
      </c>
      <c r="C120" s="11">
        <v>1590000</v>
      </c>
      <c r="D120" s="4">
        <v>1.06</v>
      </c>
    </row>
    <row r="121" spans="1:4">
      <c r="A121" s="3">
        <f t="shared" ref="A121:A139" si="2">A120+1</f>
        <v>109</v>
      </c>
      <c r="B121" s="6" t="s">
        <v>258</v>
      </c>
      <c r="C121" s="11">
        <v>1943600</v>
      </c>
      <c r="D121" s="4">
        <v>1.29</v>
      </c>
    </row>
    <row r="122" spans="1:4">
      <c r="A122" s="3">
        <f t="shared" si="2"/>
        <v>110</v>
      </c>
      <c r="B122" s="6" t="s">
        <v>259</v>
      </c>
      <c r="C122" s="11">
        <v>2168600</v>
      </c>
      <c r="D122" s="4">
        <v>1.44</v>
      </c>
    </row>
    <row r="123" spans="1:4">
      <c r="A123" s="3">
        <f t="shared" si="2"/>
        <v>111</v>
      </c>
      <c r="B123" s="6" t="s">
        <v>260</v>
      </c>
      <c r="C123" s="11">
        <v>2378600</v>
      </c>
      <c r="D123" s="4">
        <v>1.58</v>
      </c>
    </row>
    <row r="124" spans="1:4">
      <c r="A124" s="3">
        <f t="shared" si="2"/>
        <v>112</v>
      </c>
      <c r="B124" s="6" t="s">
        <v>261</v>
      </c>
      <c r="C124" s="11">
        <v>1853600</v>
      </c>
      <c r="D124" s="4">
        <v>1.23</v>
      </c>
    </row>
    <row r="125" spans="1:4">
      <c r="A125" s="3">
        <f t="shared" si="2"/>
        <v>113</v>
      </c>
      <c r="B125" s="6" t="s">
        <v>262</v>
      </c>
      <c r="C125" s="11">
        <v>2183600</v>
      </c>
      <c r="D125" s="4">
        <v>1.45</v>
      </c>
    </row>
    <row r="126" spans="1:4">
      <c r="A126" s="3">
        <f t="shared" si="2"/>
        <v>114</v>
      </c>
      <c r="B126" s="6" t="s">
        <v>263</v>
      </c>
      <c r="C126" s="11">
        <v>2423600</v>
      </c>
      <c r="D126" s="4">
        <v>1.61</v>
      </c>
    </row>
    <row r="127" spans="1:4">
      <c r="A127" s="3">
        <f t="shared" si="2"/>
        <v>115</v>
      </c>
      <c r="B127" s="6" t="s">
        <v>264</v>
      </c>
      <c r="C127" s="11">
        <v>2678600</v>
      </c>
      <c r="D127" s="4">
        <v>1.78</v>
      </c>
    </row>
    <row r="128" spans="1:4">
      <c r="A128" s="3">
        <f t="shared" si="2"/>
        <v>116</v>
      </c>
      <c r="B128" s="6" t="s">
        <v>265</v>
      </c>
      <c r="C128" s="11">
        <v>2843600</v>
      </c>
      <c r="D128" s="4">
        <v>1.89</v>
      </c>
    </row>
    <row r="129" spans="1:4">
      <c r="A129" s="3">
        <f t="shared" si="2"/>
        <v>117</v>
      </c>
      <c r="B129" s="6" t="s">
        <v>266</v>
      </c>
      <c r="C129" s="11">
        <v>2273600</v>
      </c>
      <c r="D129" s="4">
        <v>1.51</v>
      </c>
    </row>
    <row r="130" spans="1:4">
      <c r="A130" s="3">
        <f t="shared" si="2"/>
        <v>118</v>
      </c>
      <c r="B130" s="6" t="s">
        <v>267</v>
      </c>
      <c r="C130" s="11">
        <v>2528600</v>
      </c>
      <c r="D130" s="4">
        <v>1.68</v>
      </c>
    </row>
    <row r="131" spans="1:4">
      <c r="A131" s="3">
        <f t="shared" si="2"/>
        <v>119</v>
      </c>
      <c r="B131" s="6" t="s">
        <v>268</v>
      </c>
      <c r="C131" s="11">
        <v>2828600</v>
      </c>
      <c r="D131" s="4">
        <v>1.88</v>
      </c>
    </row>
    <row r="132" spans="1:4">
      <c r="A132" s="3"/>
      <c r="B132" s="7" t="s">
        <v>269</v>
      </c>
      <c r="C132" s="11"/>
      <c r="D132" s="4"/>
    </row>
    <row r="133" spans="1:4">
      <c r="A133" s="3">
        <f>A131+1</f>
        <v>120</v>
      </c>
      <c r="B133" s="6" t="s">
        <v>270</v>
      </c>
      <c r="C133" s="11">
        <v>1363333.3333335002</v>
      </c>
      <c r="D133" s="4">
        <v>0.89</v>
      </c>
    </row>
    <row r="134" spans="1:4">
      <c r="A134" s="3">
        <f t="shared" si="2"/>
        <v>121</v>
      </c>
      <c r="B134" s="6" t="s">
        <v>271</v>
      </c>
      <c r="C134" s="11">
        <v>1452000.0000004005</v>
      </c>
      <c r="D134" s="4">
        <v>0.96</v>
      </c>
    </row>
    <row r="135" spans="1:4">
      <c r="A135" s="3">
        <f t="shared" si="2"/>
        <v>122</v>
      </c>
      <c r="B135" s="6" t="s">
        <v>272</v>
      </c>
      <c r="C135" s="11">
        <v>1414000.0000003004</v>
      </c>
      <c r="D135" s="4">
        <v>0.93</v>
      </c>
    </row>
    <row r="136" spans="1:4">
      <c r="A136" s="3">
        <f t="shared" si="2"/>
        <v>123</v>
      </c>
      <c r="B136" s="6" t="s">
        <v>273</v>
      </c>
      <c r="C136" s="11">
        <v>1477333.3333338005</v>
      </c>
      <c r="D136" s="4">
        <v>0.98</v>
      </c>
    </row>
    <row r="137" spans="1:4">
      <c r="A137" s="3">
        <f t="shared" si="2"/>
        <v>124</v>
      </c>
      <c r="B137" s="6" t="s">
        <v>274</v>
      </c>
      <c r="C137" s="11">
        <v>1500000</v>
      </c>
      <c r="D137" s="4">
        <v>1</v>
      </c>
    </row>
    <row r="138" spans="1:4">
      <c r="A138" s="3">
        <f t="shared" si="2"/>
        <v>125</v>
      </c>
      <c r="B138" s="6" t="s">
        <v>275</v>
      </c>
      <c r="C138" s="11">
        <v>1363333.3333335002</v>
      </c>
      <c r="D138" s="4">
        <v>0.89</v>
      </c>
    </row>
    <row r="139" spans="1:4">
      <c r="A139" s="3">
        <f t="shared" si="2"/>
        <v>126</v>
      </c>
      <c r="B139" s="6" t="s">
        <v>276</v>
      </c>
      <c r="C139" s="11">
        <v>1439333.3333337004</v>
      </c>
      <c r="D139" s="4">
        <v>0.95</v>
      </c>
    </row>
    <row r="140" spans="1:4">
      <c r="A140" s="3"/>
      <c r="B140" s="7" t="s">
        <v>277</v>
      </c>
      <c r="C140" s="11"/>
      <c r="D140" s="4"/>
    </row>
    <row r="141" spans="1:4">
      <c r="A141" s="3">
        <f>A139+1</f>
        <v>127</v>
      </c>
      <c r="B141" s="6" t="s">
        <v>278</v>
      </c>
      <c r="C141" s="11">
        <v>1745000</v>
      </c>
      <c r="D141" s="4">
        <v>1.1599999999999999</v>
      </c>
    </row>
  </sheetData>
  <phoneticPr fontId="0" type="noConversion"/>
  <hyperlinks>
    <hyperlink ref="F4:J4" r:id="rId1" display="1.  PRCI - Pipeline Response to Buried Explosive Detonations, Volume 1, Esparza, Westine, Wenzel, August 1981"/>
    <hyperlink ref="G5:H6" r:id="rId2" display="Final Report:  A.G.A Project PR_-15-109"/>
    <hyperlink ref="F8:J8" r:id="rId3" display="2.  PRCI - Pipeline Response to Buried Explosive Detonations, Volume 2, Esparza, Westine, Wenzel, August 1981"/>
    <hyperlink ref="G9:H10" r:id="rId4" display="Final Report:  A.G.A Project PR_-15-109"/>
    <hyperlink ref="F12:I12" r:id="rId5" display="3.  PRCI - Pipeline Response to Blasting in Rock, Esparza, September 1981"/>
    <hyperlink ref="G13:H13" r:id="rId6" display="Final Report:  Contract PR-15-712 for PRCI"/>
  </hyperlinks>
  <pageMargins left="0.2" right="0.2" top="0.2" bottom="0.2" header="0.5" footer="0.5"/>
  <pageSetup orientation="landscape" r:id="rId7"/>
  <headerFooter alignWithMargins="0"/>
  <drawing r:id="rId8"/>
  <legacyDrawing r:id="rId9"/>
  <oleObjects>
    <oleObject progId="Equation.3" shapeId="8194" r:id="rId10"/>
    <oleObject progId="Equation.3" shapeId="8195" r:id="rId11"/>
    <oleObject progId="Equation.3" shapeId="8196" r:id="rId12"/>
    <oleObject progId="Equation.3" shapeId="8197" r:id="rId13"/>
    <oleObject progId="Equation.3" shapeId="8198" r:id="rId14"/>
    <oleObject progId="Equation.3" shapeId="8199" r:id="rId15"/>
    <oleObject progId="Equation.3" shapeId="8200" r:id="rId16"/>
    <oleObject progId="Equation.3" shapeId="8201" r:id="rId17"/>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Single Point Charge</vt:lpstr>
      <vt:lpstr>Parallel Line Charge</vt:lpstr>
      <vt:lpstr>Parallel Grid Charge</vt:lpstr>
      <vt:lpstr>Angled Line Charge</vt:lpstr>
      <vt:lpstr>Angled Grid Charge</vt:lpstr>
      <vt:lpstr>Data Charts</vt:lpstr>
      <vt:lpstr>'Angled Grid Charge'!Print_Area</vt:lpstr>
      <vt:lpstr>'Angled Line Charge'!Print_Area</vt:lpstr>
      <vt:lpstr>'Parallel Grid Charge'!Print_Area</vt:lpstr>
      <vt:lpstr>'Parallel Line Charge'!Print_Area</vt:lpstr>
      <vt:lpstr>'Single Point Charge'!Print_Area</vt:lpstr>
    </vt:vector>
  </TitlesOfParts>
  <Manager>M. Giles Hullinger</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PPV</dc:title>
  <dc:subject>Blasting Analysis</dc:subject>
  <dc:creator>M. Giles Hullinger</dc:creator>
  <cp:lastModifiedBy>markhul</cp:lastModifiedBy>
  <cp:lastPrinted>2006-12-12T23:28:42Z</cp:lastPrinted>
  <dcterms:created xsi:type="dcterms:W3CDTF">2003-08-08T20:40:32Z</dcterms:created>
  <dcterms:modified xsi:type="dcterms:W3CDTF">2013-04-15T21:30:44Z</dcterms:modified>
  <cp:category>Blasting Analysis</cp:category>
</cp:coreProperties>
</file>